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206" windowWidth="12120" windowHeight="8805" tabRatio="777" activeTab="2"/>
  </bookViews>
  <sheets>
    <sheet name="ManagAccounts" sheetId="1" r:id="rId1"/>
    <sheet name="KeepingRecords" sheetId="2" r:id="rId2"/>
    <sheet name="AdoptedBudget" sheetId="3" r:id="rId3"/>
    <sheet name="Recap.jun02" sheetId="4" r:id="rId4"/>
    <sheet name="CarryOver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<sst xmlns="http://schemas.openxmlformats.org/spreadsheetml/2006/main" count="654" uniqueCount="409">
  <si>
    <t>Month</t>
  </si>
  <si>
    <t>Invoice Number</t>
  </si>
  <si>
    <t>Y2001.Oct.AFNIC-to-ICANN-invoice.doc</t>
  </si>
  <si>
    <t>Type expense</t>
  </si>
  <si>
    <t>pending</t>
  </si>
  <si>
    <t>Y2001.Oct.GLEN-to-ICANN-invoice.doc</t>
  </si>
  <si>
    <t>Y2001.Nov.AFNIC-to-ICANN-invoice.doc</t>
  </si>
  <si>
    <t>Y2001.Nov.GLEN-to-ICANN-invoice.doc</t>
  </si>
  <si>
    <t>awaiting</t>
  </si>
  <si>
    <t>Invoice Filename sent to Budget Committee</t>
  </si>
  <si>
    <t>200111-MI</t>
  </si>
  <si>
    <t>200111-TC</t>
  </si>
  <si>
    <t>200111-TR</t>
  </si>
  <si>
    <t>F0111-06242</t>
  </si>
  <si>
    <t>1-contract</t>
  </si>
  <si>
    <t>2-telephone</t>
  </si>
  <si>
    <t>3-travels</t>
  </si>
  <si>
    <t>Sent to ICANN</t>
  </si>
  <si>
    <t>Amount $US</t>
  </si>
  <si>
    <t>Sent to NC BC</t>
  </si>
  <si>
    <t>2001-avr-sep</t>
  </si>
  <si>
    <t>Y2001.Apr-Sep.AFNIC-to-ICANN-invoice.doc</t>
  </si>
  <si>
    <t>STATUS OF PAYMENT OF INVOICES SENT BY THE DNSO SECRETARIAT TO THE BUDGET COMMITTEE AND TO ICANN</t>
  </si>
  <si>
    <t>Explanation 1</t>
  </si>
  <si>
    <t>Explanation 2</t>
  </si>
  <si>
    <t>Explanation 3</t>
  </si>
  <si>
    <t>The invoices are sent at the end of the month to the Budget Committe Chair for approval</t>
  </si>
  <si>
    <t>The BC Chair seeks for Budget Committee acceptance, and post to the ICANN staff for payment</t>
  </si>
  <si>
    <t>The ICANN accountant (Diane Schroeder) sent wire order to the DNSO Bank</t>
  </si>
  <si>
    <t>F0110-05565</t>
  </si>
  <si>
    <t>F0110-05566</t>
  </si>
  <si>
    <t>Explanation 4</t>
  </si>
  <si>
    <t>Payment received</t>
  </si>
  <si>
    <t>Wire transfer</t>
  </si>
  <si>
    <t>unknown</t>
  </si>
  <si>
    <t>The payment arrive to GLEN or to AFNIC</t>
  </si>
  <si>
    <t>Y2000.Jan-Dec.AFNIC-to-ICANN-invoice.doc</t>
  </si>
  <si>
    <t>F0109-04011</t>
  </si>
  <si>
    <t>2000-jan-dec+2001-jan-mar</t>
  </si>
  <si>
    <t>Total invoiced</t>
  </si>
  <si>
    <t>Status paiment</t>
  </si>
  <si>
    <t>Total received</t>
  </si>
  <si>
    <t>valid on 19 Dec 2001</t>
  </si>
  <si>
    <t>done</t>
  </si>
  <si>
    <t>Y2001.Dec.AFNIC-to-ICANN-invoice.doc</t>
  </si>
  <si>
    <t>Y2001.Dec.GLEN-to-ICANN-invoice.doc</t>
  </si>
  <si>
    <t>Y2001.Nov.GLEN-to-ICANN-TC-invoice.doc</t>
  </si>
  <si>
    <t>Y2001.Nov.GLEN-to-ICANN-TR-invoice.doc</t>
  </si>
  <si>
    <t>Y2001.Dec.GLEN-to-ICANN-TC-invoice.doc</t>
  </si>
  <si>
    <t>Y2001.Dec.GLEN-to-ICANN-TR-invoice.doc</t>
  </si>
  <si>
    <t>200112-MI</t>
  </si>
  <si>
    <t>200112-TC</t>
  </si>
  <si>
    <t>200112-TR</t>
  </si>
  <si>
    <t>12 dec 2001</t>
  </si>
  <si>
    <t>20 dec 2001</t>
  </si>
  <si>
    <t>19 dec 2001</t>
  </si>
  <si>
    <t>F0112-06872</t>
  </si>
  <si>
    <t>F0201-00001</t>
  </si>
  <si>
    <t>200201-MI</t>
  </si>
  <si>
    <t>200201-TC</t>
  </si>
  <si>
    <t>Y2002.Jan.GLEN-to-ICANN-invoice.doc</t>
  </si>
  <si>
    <t>Y2002.Jan.GLEN-to-ICANN-TC-invoice.doc</t>
  </si>
  <si>
    <t>Y2002.Jan.AFNIC-to-ICANN-invoice.doc</t>
  </si>
  <si>
    <t>22 jan 2002</t>
  </si>
  <si>
    <t>200202-MI</t>
  </si>
  <si>
    <t>18 fevr 2002</t>
  </si>
  <si>
    <t>18 feb 2002</t>
  </si>
  <si>
    <t>F0202-00647</t>
  </si>
  <si>
    <t>Y2002.Feb.AFNIC-to-ICANN-invoice.doc</t>
  </si>
  <si>
    <t>Y2002.Feb.GLEN-to-ICANN-invoice.doc</t>
  </si>
  <si>
    <t>Y2002.Feb.GLEN-to-ICANN-TR-invoice.doc</t>
  </si>
  <si>
    <t>Y2002.Mar.AFNIC-to-ICANN-invoice.doc</t>
  </si>
  <si>
    <t>Y2002.Mar.GLEN-to-ICANN-invoice.doc</t>
  </si>
  <si>
    <t>Y2002.Mar.GLEN-to-ICANN-TR-invoice.doc</t>
  </si>
  <si>
    <t>200203-MI</t>
  </si>
  <si>
    <t>200203-TR</t>
  </si>
  <si>
    <t>200202-TR</t>
  </si>
  <si>
    <t>F0203-01283</t>
  </si>
  <si>
    <t>200203-TC</t>
  </si>
  <si>
    <t>Y2002.Mar.GLEN-to-ICANN-TC-invoice.doc</t>
  </si>
  <si>
    <t>04 apr 2002</t>
  </si>
  <si>
    <t>200204-MI</t>
  </si>
  <si>
    <t>200204-TC</t>
  </si>
  <si>
    <t>200204-TR</t>
  </si>
  <si>
    <t>F0204-01921</t>
  </si>
  <si>
    <t>Y2002.Apr.AFNIC-to-ICANN-invoice.doc</t>
  </si>
  <si>
    <t>Y2002.Apr.GLEN-to-ICANN-invoice.doc</t>
  </si>
  <si>
    <t>Y2002.Apr.GLEN-to-ICANN-TC-invoice.doc</t>
  </si>
  <si>
    <t>Y2002.Apr.GLEN-to-ICANN-TR-invoice.doc</t>
  </si>
  <si>
    <t>DNSO Secretariat</t>
  </si>
  <si>
    <t>All in $US</t>
  </si>
  <si>
    <t>Income</t>
  </si>
  <si>
    <t>Budget YTD</t>
  </si>
  <si>
    <t>Actual YTD</t>
  </si>
  <si>
    <t>Membership fees</t>
  </si>
  <si>
    <t>Bank interest</t>
  </si>
  <si>
    <t>Other donations</t>
  </si>
  <si>
    <t>Expenditure</t>
  </si>
  <si>
    <t>Budget</t>
  </si>
  <si>
    <t>Projected DNSO EXPENSES in 2002</t>
  </si>
  <si>
    <t>MINIMUM CORE BUDGET</t>
  </si>
  <si>
    <t>Secretariat</t>
  </si>
  <si>
    <t>AFNIC contracted fees</t>
  </si>
  <si>
    <t>St Gery contracted fees</t>
  </si>
  <si>
    <t>St Gery estimated overtime</t>
  </si>
  <si>
    <t>Subtotal</t>
  </si>
  <si>
    <t>St Gery ISP</t>
  </si>
  <si>
    <t>St Gery travel</t>
  </si>
  <si>
    <t>St Gery telephone</t>
  </si>
  <si>
    <t>Subtotal Secretariat</t>
  </si>
  <si>
    <t>Council</t>
  </si>
  <si>
    <t>NC teleconferences (13 pa at $820)</t>
  </si>
  <si>
    <t>Physical meeting telephone hook-ups (3 pa)</t>
  </si>
  <si>
    <t>Subtotal Council</t>
  </si>
  <si>
    <t>Subtotal Secretariat+Council</t>
  </si>
  <si>
    <t>Contingency at 10%</t>
  </si>
  <si>
    <t>TOTAL</t>
  </si>
  <si>
    <t>(equivalent to $13,995 per constituency)</t>
  </si>
  <si>
    <t>Contract for services FISAT</t>
  </si>
  <si>
    <t>Contract for services AFNIC</t>
  </si>
  <si>
    <t>Overtime FISAT</t>
  </si>
  <si>
    <t>1.1</t>
  </si>
  <si>
    <t>1.2</t>
  </si>
  <si>
    <t>1.3</t>
  </si>
  <si>
    <t>Travel</t>
  </si>
  <si>
    <t>2.1</t>
  </si>
  <si>
    <t>2.2</t>
  </si>
  <si>
    <t>2.3</t>
  </si>
  <si>
    <t>2.4</t>
  </si>
  <si>
    <t>(Year starts in October 2001)</t>
  </si>
  <si>
    <t>3.1</t>
  </si>
  <si>
    <t>3.2</t>
  </si>
  <si>
    <t>3.3</t>
  </si>
  <si>
    <t>3.4</t>
  </si>
  <si>
    <t>3.5</t>
  </si>
  <si>
    <t>3.6</t>
  </si>
  <si>
    <t>3.7</t>
  </si>
  <si>
    <t>Telephone and ISP</t>
  </si>
  <si>
    <t>2.5</t>
  </si>
  <si>
    <t>2.6</t>
  </si>
  <si>
    <t>2.7</t>
  </si>
  <si>
    <t>4.1</t>
  </si>
  <si>
    <t>4.2</t>
  </si>
  <si>
    <t>8 apr 2002</t>
  </si>
  <si>
    <t>08 apr 2002</t>
  </si>
  <si>
    <t>Nov 2001 total teleconferences</t>
  </si>
  <si>
    <t>Marina del Rey Nov/01 teleconf</t>
  </si>
  <si>
    <t>Montevideo Sep/01 teleconf</t>
  </si>
  <si>
    <t>Names Council teleconferences</t>
  </si>
  <si>
    <t>5.1</t>
  </si>
  <si>
    <t>5.2</t>
  </si>
  <si>
    <t>Contingency expenses</t>
  </si>
  <si>
    <t>TOTAL EXPENSES</t>
  </si>
  <si>
    <t>1/17/02 World Com - Adjustment for Dec. call     $(800.00)</t>
  </si>
  <si>
    <t>1/17/02 WorldCom - Jan Call      $1,918.96</t>
  </si>
  <si>
    <t>2/22/02 WorldCom  - Feb Call     $1,409.47</t>
  </si>
  <si>
    <t>3/22/02 WorldCom - Mar call      $357.34</t>
  </si>
  <si>
    <t>3/22/02 WorldCom - Ghana Call    $930.32</t>
  </si>
  <si>
    <t>MDR Meeting - Names Council Teleconference - $358.33</t>
  </si>
  <si>
    <t>12/22/01 WorldCom - Dec. Call     $2,787.99</t>
  </si>
  <si>
    <t>Names Council meetings</t>
  </si>
  <si>
    <t>4.3</t>
  </si>
  <si>
    <t>4.4</t>
  </si>
  <si>
    <t>4.5</t>
  </si>
  <si>
    <t>Dec 2001 adjustment for Dec</t>
  </si>
  <si>
    <t>1/17/02 WorldCom - Jan Call</t>
  </si>
  <si>
    <t xml:space="preserve">3/22/02 WorldCom - Mar call </t>
  </si>
  <si>
    <t>4.6</t>
  </si>
  <si>
    <t>2/22/02 WorldCom - Feb Call</t>
  </si>
  <si>
    <t>3/22/02 WorldCom - Ghana Call</t>
  </si>
  <si>
    <t>5.3</t>
  </si>
  <si>
    <t>2001-Oct</t>
  </si>
  <si>
    <t>2001-Nov</t>
  </si>
  <si>
    <t>2001-Dec</t>
  </si>
  <si>
    <t>2002-Jan</t>
  </si>
  <si>
    <t>2002-Feb</t>
  </si>
  <si>
    <t>2002-Mar</t>
  </si>
  <si>
    <t>2002-Apr</t>
  </si>
  <si>
    <t>Paid by Diane</t>
  </si>
  <si>
    <t>Montevideo Meeting - Names Council Teleconference - $107.48</t>
  </si>
  <si>
    <t>Glen de Saint Gery hotel expenses - MDR Meeting - $707.24</t>
  </si>
  <si>
    <t>on 1st page this item is counted with FISAT 200111-TR invoice for travel</t>
  </si>
  <si>
    <t>Y2002.May.AFNIC-to-ICANN-invoice.doc</t>
  </si>
  <si>
    <t>Y2002.May.GLEN-to-ICANN-invoice.doc</t>
  </si>
  <si>
    <t>Y2002.May.GLEN-to-ICANN-TC-invoice.doc</t>
  </si>
  <si>
    <t>200205-MI</t>
  </si>
  <si>
    <t>200205-TC</t>
  </si>
  <si>
    <t>2.8</t>
  </si>
  <si>
    <t>2002-May</t>
  </si>
  <si>
    <t>3.8</t>
  </si>
  <si>
    <t>F0205-02573</t>
  </si>
  <si>
    <t xml:space="preserve"> 22/04/2002::WorldCom::4/4/02 Call</t>
  </si>
  <si>
    <t xml:space="preserve"> 22/04/2002::WorldCom::4/18/02 Call</t>
  </si>
  <si>
    <t xml:space="preserve"> 22/04/2002::WorldCom::3/22/02 Call</t>
  </si>
  <si>
    <t>Date of Bill::Vendor::Notes</t>
  </si>
  <si>
    <t>Amount</t>
  </si>
  <si>
    <t xml:space="preserve"> 22/12/2001::WorldCom::12/13/02 Call</t>
  </si>
  <si>
    <t xml:space="preserve"> $  2 787,99 </t>
  </si>
  <si>
    <t xml:space="preserve"> 05/01/2002::MarinaBeach Marriott::Marina Del Rey Meeting - Glen de St. Gery</t>
  </si>
  <si>
    <t xml:space="preserve"> $     707,24 </t>
  </si>
  <si>
    <t xml:space="preserve"> 22/01/2002::WorldCom::1/17/02 Call</t>
  </si>
  <si>
    <t xml:space="preserve"> $  1 918,96 </t>
  </si>
  <si>
    <t xml:space="preserve"> 22/01/2002::WorldCom::Rebate for Dec.</t>
  </si>
  <si>
    <t xml:space="preserve"> $    (800,00)</t>
  </si>
  <si>
    <t xml:space="preserve"> 22/02/2002::WorldCom::2/14/02 Call</t>
  </si>
  <si>
    <t xml:space="preserve"> $  1 409,47 </t>
  </si>
  <si>
    <t xml:space="preserve"> 31/03/2002::WorldCom::3/12/02 Call</t>
  </si>
  <si>
    <t xml:space="preserve"> $     930,32 </t>
  </si>
  <si>
    <t xml:space="preserve"> 31/03/2002::WorldCom::2/28/02 Call</t>
  </si>
  <si>
    <t xml:space="preserve"> $     357,34 </t>
  </si>
  <si>
    <t xml:space="preserve"> $     718,69 </t>
  </si>
  <si>
    <t xml:space="preserve"> $     649,62 </t>
  </si>
  <si>
    <t xml:space="preserve"> $     594,73 </t>
  </si>
  <si>
    <t xml:space="preserve"> $  9 274,36 </t>
  </si>
  <si>
    <t>elswhere</t>
  </si>
  <si>
    <t>ok - ligne 3</t>
  </si>
  <si>
    <t>ok - ligne 0</t>
  </si>
  <si>
    <t>ok - ligne 5</t>
  </si>
  <si>
    <t>ok - ligne 4</t>
  </si>
  <si>
    <t>ok - ligne 6</t>
  </si>
  <si>
    <t>ok - ligne 8</t>
  </si>
  <si>
    <t>ok - ligne 7</t>
  </si>
  <si>
    <t>Verification</t>
  </si>
  <si>
    <t>Info from Diane Schroeder, status of 14 June 2002</t>
  </si>
  <si>
    <t>Info from Diane Schroeder, status of 31 Dec 2001</t>
  </si>
  <si>
    <t>4.7</t>
  </si>
  <si>
    <t xml:space="preserve">4/22/02 WorldCom - Apr call </t>
  </si>
  <si>
    <t>Y2002.Jan-Apr.DNSO-owed-to-ICANN-invoice.doc</t>
  </si>
  <si>
    <t>RReimb/2002-01</t>
  </si>
  <si>
    <t>Y2002.Jun.AFNIC-to-ICANN-invoice.doc</t>
  </si>
  <si>
    <t>Y2002.Jun.GLEN-to-ICANN-invoice.doc</t>
  </si>
  <si>
    <t>Y2002.Jun.GLEN-to-ICANN-TR-invoice.doc</t>
  </si>
  <si>
    <t>200206-MI</t>
  </si>
  <si>
    <t>200206-TR</t>
  </si>
  <si>
    <t>F0206-03888</t>
  </si>
  <si>
    <t xml:space="preserve"> 09 jul 2002</t>
  </si>
  <si>
    <t xml:space="preserve"> 16 jun 2002</t>
  </si>
  <si>
    <t>2.9</t>
  </si>
  <si>
    <t>2002-Jun</t>
  </si>
  <si>
    <t>3.9</t>
  </si>
  <si>
    <t>4.8</t>
  </si>
  <si>
    <t>Glen remb Diane</t>
  </si>
  <si>
    <t>NC remb Diane</t>
  </si>
  <si>
    <t>F0207-03895</t>
  </si>
  <si>
    <t>200207-MI</t>
  </si>
  <si>
    <t>200207-TR</t>
  </si>
  <si>
    <t>Y2002.Jul.AFNIC-to-ICANN-invoice.doc</t>
  </si>
  <si>
    <t>Y2002.Jul.GLEN-to-ICANN-invoice.doc</t>
  </si>
  <si>
    <t>Y2002.Jul.GLEN-to-ICANN-TC-invoice.doc</t>
  </si>
  <si>
    <t>Y2002.Jul.GLEN-to-ICANN-TR-invoice.doc</t>
  </si>
  <si>
    <t>5 aug 2002</t>
  </si>
  <si>
    <t>2.10</t>
  </si>
  <si>
    <t>2002-Jul</t>
  </si>
  <si>
    <t>3.10</t>
  </si>
  <si>
    <t>4.9</t>
  </si>
  <si>
    <t>May 2 - 2222 minutes - $660.52</t>
  </si>
  <si>
    <t>May 14 - 2098 minutes - $623.68</t>
  </si>
  <si>
    <t>April 24 - 3716 minutes - $1104.66</t>
  </si>
  <si>
    <t>June 6 - 1649 minutes - $412.25</t>
  </si>
  <si>
    <t>June 17 - 2000 minutes - $578.96</t>
  </si>
  <si>
    <t>May 29 - 1831 minutes - $457.75</t>
  </si>
  <si>
    <t xml:space="preserve"> 22/05/2002::WorldCom::5/02/02 Call</t>
  </si>
  <si>
    <t xml:space="preserve"> 22/05/2002::WorldCom::5/14/02 Call</t>
  </si>
  <si>
    <t xml:space="preserve"> 22/05/2002::WorldCom::4/24/02 Call</t>
  </si>
  <si>
    <t xml:space="preserve"> 22/06/2002::WorldCom::6/06/02 Call</t>
  </si>
  <si>
    <t xml:space="preserve"> 22/06/2002::WorldCom::6/17/02 Call</t>
  </si>
  <si>
    <t xml:space="preserve"> 22/06/2002::WorldCom::5/29/02 Call</t>
  </si>
  <si>
    <t xml:space="preserve"> 22/06/2002::WorldCom::Rebate for Jan.</t>
  </si>
  <si>
    <t xml:space="preserve"> $    (422.17)</t>
  </si>
  <si>
    <t>Jun 2002 adjustment for Jan</t>
  </si>
  <si>
    <t xml:space="preserve">5/22/02 WorldCom - May call </t>
  </si>
  <si>
    <t>6/22/02 WorldCom - Jun call</t>
  </si>
  <si>
    <t>4.10</t>
  </si>
  <si>
    <t>F0208-04552</t>
  </si>
  <si>
    <t>Y2002.Aug.AFNIC-to-ICANN-invoice.doc</t>
  </si>
  <si>
    <t>Y2002.Aug.GLEN-to-ICANN-invoice.doc</t>
  </si>
  <si>
    <t>200208-MI</t>
  </si>
  <si>
    <t>200209-MI</t>
  </si>
  <si>
    <t>200209-TC</t>
  </si>
  <si>
    <t>Y2002.Sep.AFNIC-to-ICANN-invoice.doc</t>
  </si>
  <si>
    <t>Y2002.Sep.GLEN-to-ICANN-invoice.doc</t>
  </si>
  <si>
    <t>Y2002.Sep.GLEN-to-ICANN-TC-invoice.doc</t>
  </si>
  <si>
    <t>F0209-05199</t>
  </si>
  <si>
    <t>updated on 25 Jan 2002, 28 Feb, 26 Mar, 29 Apr, 3 Jun, 1 Oct</t>
  </si>
  <si>
    <t>Management Accounts to 30 Sep 2002</t>
  </si>
  <si>
    <t>3.11</t>
  </si>
  <si>
    <t>3.12</t>
  </si>
  <si>
    <t>2002-Aug</t>
  </si>
  <si>
    <t>2002-Sep</t>
  </si>
  <si>
    <t>4.11</t>
  </si>
  <si>
    <t>4.12</t>
  </si>
  <si>
    <t>2.11</t>
  </si>
  <si>
    <t>2.12</t>
  </si>
  <si>
    <t>the Worldcom bill ending Aug 22 02 has two calls for the DNSO:</t>
  </si>
  <si>
    <t>13 Glen letter</t>
  </si>
  <si>
    <t>7/22/02 WorldCom - Jul call</t>
  </si>
  <si>
    <t>8/22/02 WorldCom - Aug call</t>
  </si>
  <si>
    <t>Year 2001</t>
  </si>
  <si>
    <t>Year 2002</t>
  </si>
  <si>
    <t>Average months</t>
  </si>
  <si>
    <t>Actual YTD 2002</t>
  </si>
  <si>
    <t>3 months 2001</t>
  </si>
  <si>
    <t>Jan-to-Sep-2001</t>
  </si>
  <si>
    <t>Afnic global arrangement for Jan to Sep 2001</t>
  </si>
  <si>
    <t>Teleconferences, consultant, other fees 2001</t>
  </si>
  <si>
    <t>12 months 2001</t>
  </si>
  <si>
    <t>12 months 2002 (projected)</t>
  </si>
  <si>
    <t>REVENUES</t>
  </si>
  <si>
    <t>Amt Invoiced</t>
  </si>
  <si>
    <t>Amt Received</t>
  </si>
  <si>
    <t>Amt Owed</t>
  </si>
  <si>
    <t>Business</t>
  </si>
  <si>
    <t>ccTLD</t>
  </si>
  <si>
    <t>gTLD</t>
  </si>
  <si>
    <t>IP</t>
  </si>
  <si>
    <t>ISP</t>
  </si>
  <si>
    <t>NCDNHC</t>
  </si>
  <si>
    <t>Registrars</t>
  </si>
  <si>
    <t>Other Donations</t>
  </si>
  <si>
    <t>Interest</t>
  </si>
  <si>
    <t>1999 Total Contributions</t>
  </si>
  <si>
    <t>2000 Total Contributions</t>
  </si>
  <si>
    <t>2001 Total Contributions</t>
  </si>
  <si>
    <t>ccTLD interest penalty assessed from 2001</t>
  </si>
  <si>
    <t>NCDNHC interest penalty assessed from 2001</t>
  </si>
  <si>
    <t>2002 Total Contributions</t>
  </si>
  <si>
    <t>EXPENSES 2000</t>
  </si>
  <si>
    <t>Paid</t>
  </si>
  <si>
    <t>Pending</t>
  </si>
  <si>
    <t>Total</t>
  </si>
  <si>
    <t>Bank Charges/Discounts</t>
  </si>
  <si>
    <t>External Consulting</t>
  </si>
  <si>
    <t>Scribing</t>
  </si>
  <si>
    <t>Secretariat Fees</t>
  </si>
  <si>
    <t>Secretariat Phone/Connectivity</t>
  </si>
  <si>
    <t>Secretariat Technical Services</t>
  </si>
  <si>
    <t>Secretariart Travel</t>
  </si>
  <si>
    <t>Telephone</t>
  </si>
  <si>
    <t>Webcasting</t>
  </si>
  <si>
    <t>EXPENSES 2001</t>
  </si>
  <si>
    <t>EXPENSES 2002</t>
  </si>
  <si>
    <t>Secretariat Travel</t>
  </si>
  <si>
    <t>Total Contributions Received 1999-2002</t>
  </si>
  <si>
    <t>Total Expenses - Paid &amp; Pending</t>
  </si>
  <si>
    <t>Total Unencumbered Funds</t>
  </si>
  <si>
    <t>Dernière mise à jour le 05/09/02</t>
  </si>
  <si>
    <t xml:space="preserve">Par DNSO Secretariat </t>
  </si>
  <si>
    <t>http://www.dnso.org/dnso/notes/20020905.ICANN-DNSO-finances-recap.html</t>
  </si>
  <si>
    <t>Year</t>
  </si>
  <si>
    <t>Approved</t>
  </si>
  <si>
    <t>On Accrue</t>
  </si>
  <si>
    <t>CarryOver</t>
  </si>
  <si>
    <t>Cash in bank</t>
  </si>
  <si>
    <t>based on Diane status</t>
  </si>
  <si>
    <t>End Jun 2002</t>
  </si>
  <si>
    <t>End Sep 2002</t>
  </si>
  <si>
    <t>projected</t>
  </si>
  <si>
    <t>End Dec 2002</t>
  </si>
  <si>
    <t>End Apr 2003</t>
  </si>
  <si>
    <t>July 2002</t>
  </si>
  <si>
    <t>July 2002 ??</t>
  </si>
  <si>
    <t>??</t>
  </si>
  <si>
    <t>Total pending awaiting</t>
  </si>
  <si>
    <t>July 11 - 2031 mins. - $601.99</t>
  </si>
  <si>
    <t>24 July 2002 - 1664 min. - $493.23</t>
  </si>
  <si>
    <t>1 Aug 2002 - 986 min. - $292.22</t>
  </si>
  <si>
    <t xml:space="preserve"> 22/07/2002::WorldCom::7/11/02 Call</t>
  </si>
  <si>
    <t xml:space="preserve"> 22/08/2002::WorldCom::7/24/02 Call</t>
  </si>
  <si>
    <t xml:space="preserve"> 22/08/2002::WorldCom::8/01/02 Call</t>
  </si>
  <si>
    <t>based on Glen+Afnic, includes Secretariat fees until end of September, more up to date</t>
  </si>
  <si>
    <t>Aug 29 - 631 mins.  total  - $188.33</t>
  </si>
  <si>
    <t>Sept 12 - 2001 mins. total - $597.21</t>
  </si>
  <si>
    <t xml:space="preserve"> 22/09/2002::WorldCom::8/29/02 Call</t>
  </si>
  <si>
    <t xml:space="preserve"> 22/09/2002::WorldCom::9/12/02 Call</t>
  </si>
  <si>
    <t>14 Glen 10oct</t>
  </si>
  <si>
    <t>total=$2172.98</t>
  </si>
  <si>
    <t>9/22/02 WorldCom - Sep call</t>
  </si>
  <si>
    <t>Based on last 12 months, Oct 2001 to Sep 2002, the NC spent per months</t>
  </si>
  <si>
    <t>updated 16oct02</t>
  </si>
  <si>
    <t>200210-MI</t>
  </si>
  <si>
    <t>Y2002.Oct. GLEN-to-ICANN-invoice.doc</t>
  </si>
  <si>
    <t>2002-oct</t>
  </si>
  <si>
    <t>200210-TR</t>
  </si>
  <si>
    <t>1-travel</t>
  </si>
  <si>
    <t>DNSO EXPENSES Jan to June 2003</t>
  </si>
  <si>
    <t>NSES Jan to June 2003</t>
  </si>
  <si>
    <t>$10800</t>
  </si>
  <si>
    <t>$19200</t>
  </si>
  <si>
    <t>$2500</t>
  </si>
  <si>
    <t>$32500</t>
  </si>
  <si>
    <t>$700</t>
  </si>
  <si>
    <t>$4400</t>
  </si>
  <si>
    <t>$1300</t>
  </si>
  <si>
    <t>$38900</t>
  </si>
  <si>
    <t>$6000</t>
  </si>
  <si>
    <t>$1000</t>
  </si>
  <si>
    <t>$7000</t>
  </si>
  <si>
    <t>$45900</t>
  </si>
  <si>
    <t>$3200</t>
  </si>
  <si>
    <t>$37700</t>
  </si>
  <si>
    <t>8@$750</t>
  </si>
  <si>
    <t>Task Force &amp; com. Teleconfs 13 at 750</t>
  </si>
  <si>
    <t>$9750</t>
  </si>
  <si>
    <t>$16750</t>
  </si>
  <si>
    <t>$54450</t>
  </si>
  <si>
    <t>Adjusted after</t>
  </si>
  <si>
    <t>Bud.com.Call</t>
  </si>
  <si>
    <t>Nov.20,02</t>
  </si>
  <si>
    <t>Since $9750 has been added for task force and committee teleconferences, contingency fees are not added</t>
  </si>
</sst>
</file>

<file path=xl/styles.xml><?xml version="1.0" encoding="utf-8"?>
<styleSheet xmlns="http://schemas.openxmlformats.org/spreadsheetml/2006/main">
  <numFmts count="3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yy\-mmm"/>
    <numFmt numFmtId="175" formatCode="yyyy\-mmm"/>
    <numFmt numFmtId="176" formatCode="dd\ mmm\ yyyy"/>
    <numFmt numFmtId="177" formatCode="dd\ mm\ yyyy"/>
    <numFmt numFmtId="178" formatCode="d\ mmmm\ yyyy"/>
    <numFmt numFmtId="179" formatCode="_-[$$-409]* #,##0_ ;_-[$$-409]* \-#,##0\ ;_-[$$-409]* &quot;-&quot;_ ;_-@_ "/>
    <numFmt numFmtId="180" formatCode="_(&quot;$&quot;* #,##0.00_);_(&quot;$&quot;* \(#,##0.00\);_(&quot;$&quot;* &quot;-&quot;??_);_(@_)"/>
    <numFmt numFmtId="181" formatCode="\$#,##0.00"/>
    <numFmt numFmtId="182" formatCode="&quot;$&quot;#,##0.00_);[Red]\(&quot;$&quot;#,##0.00\)"/>
    <numFmt numFmtId="183" formatCode="#,##0.00\ _€"/>
    <numFmt numFmtId="184" formatCode="#,##0.00\ &quot;€&quot;"/>
    <numFmt numFmtId="185" formatCode="&quot;$&quot;#,##0.00"/>
  </numFmts>
  <fonts count="15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color indexed="8"/>
      <name val="Times New Roman"/>
      <family val="1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" fontId="14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5" fontId="1" fillId="0" borderId="0" xfId="0" applyNumberFormat="1" applyFont="1" applyAlignment="1">
      <alignment horizontal="righ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" fontId="1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2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81" fontId="0" fillId="0" borderId="0" xfId="0" applyNumberFormat="1" applyAlignment="1">
      <alignment horizontal="right"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81" fontId="0" fillId="2" borderId="0" xfId="0" applyNumberFormat="1" applyFill="1" applyAlignment="1">
      <alignment horizontal="right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181" fontId="0" fillId="7" borderId="0" xfId="0" applyNumberFormat="1" applyFill="1" applyAlignment="1">
      <alignment horizontal="right"/>
    </xf>
    <xf numFmtId="181" fontId="0" fillId="7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81" fontId="0" fillId="3" borderId="0" xfId="0" applyNumberFormat="1" applyFill="1" applyAlignment="1">
      <alignment horizontal="right"/>
    </xf>
    <xf numFmtId="181" fontId="0" fillId="3" borderId="0" xfId="0" applyNumberFormat="1" applyFill="1" applyAlignment="1">
      <alignment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5" fontId="1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10" fillId="0" borderId="0" xfId="15" applyAlignment="1">
      <alignment/>
    </xf>
    <xf numFmtId="11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8@$75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57">
      <selection activeCell="D74" sqref="D74"/>
    </sheetView>
  </sheetViews>
  <sheetFormatPr defaultColWidth="11.421875" defaultRowHeight="12.75"/>
  <cols>
    <col min="1" max="1" width="5.7109375" style="22" customWidth="1"/>
    <col min="2" max="2" width="25.7109375" style="2" customWidth="1"/>
    <col min="3" max="3" width="13.00390625" style="28" customWidth="1"/>
    <col min="4" max="4" width="13.00390625" style="32" customWidth="1"/>
    <col min="5" max="5" width="13.00390625" style="26" customWidth="1"/>
    <col min="6" max="6" width="3.7109375" style="3" customWidth="1"/>
    <col min="7" max="7" width="13.00390625" style="11" customWidth="1"/>
    <col min="8" max="8" width="12.7109375" style="11" customWidth="1"/>
    <col min="9" max="16384" width="11.421875" style="1" customWidth="1"/>
  </cols>
  <sheetData>
    <row r="1" spans="6:7" ht="11.25">
      <c r="F1" s="3">
        <v>12</v>
      </c>
      <c r="G1" s="11">
        <v>3</v>
      </c>
    </row>
    <row r="2" ht="12.75">
      <c r="B2" s="36" t="s">
        <v>89</v>
      </c>
    </row>
    <row r="3" ht="12.75">
      <c r="B3" s="36" t="s">
        <v>284</v>
      </c>
    </row>
    <row r="4" ht="11.25">
      <c r="B4" s="2" t="s">
        <v>129</v>
      </c>
    </row>
    <row r="5" spans="2:6" ht="11.25">
      <c r="B5" s="3"/>
      <c r="E5" s="27"/>
      <c r="F5" s="1"/>
    </row>
    <row r="6" spans="2:6" ht="11.25">
      <c r="B6" s="3" t="s">
        <v>90</v>
      </c>
      <c r="E6" s="27"/>
      <c r="F6" s="1"/>
    </row>
    <row r="7" spans="2:8" ht="11.25">
      <c r="B7" s="3"/>
      <c r="C7" s="31" t="s">
        <v>92</v>
      </c>
      <c r="D7" s="33" t="s">
        <v>93</v>
      </c>
      <c r="E7" s="27" t="s">
        <v>98</v>
      </c>
      <c r="F7" s="5"/>
      <c r="G7" s="47" t="s">
        <v>297</v>
      </c>
      <c r="H7" s="47" t="s">
        <v>298</v>
      </c>
    </row>
    <row r="8" spans="2:6" ht="11.25">
      <c r="B8" s="3"/>
      <c r="E8" s="27"/>
      <c r="F8" s="1"/>
    </row>
    <row r="9" spans="2:5" ht="12.75">
      <c r="B9" s="22" t="s">
        <v>91</v>
      </c>
      <c r="E9" s="34"/>
    </row>
    <row r="10" spans="2:5" ht="12.75">
      <c r="B10" s="2" t="s">
        <v>94</v>
      </c>
      <c r="E10" s="34"/>
    </row>
    <row r="11" spans="2:5" ht="12.75">
      <c r="B11" s="2" t="s">
        <v>96</v>
      </c>
      <c r="E11" s="34"/>
    </row>
    <row r="12" spans="2:5" ht="12.75">
      <c r="B12" s="2" t="s">
        <v>95</v>
      </c>
      <c r="E12" s="34"/>
    </row>
    <row r="14" ht="11.25">
      <c r="B14" s="22" t="s">
        <v>97</v>
      </c>
    </row>
    <row r="15" spans="1:2" ht="11.25">
      <c r="A15" s="22">
        <v>1</v>
      </c>
      <c r="B15" s="22" t="s">
        <v>101</v>
      </c>
    </row>
    <row r="16" spans="1:8" ht="11.25">
      <c r="A16" s="14" t="s">
        <v>121</v>
      </c>
      <c r="B16" s="2" t="s">
        <v>119</v>
      </c>
      <c r="C16" s="31">
        <f>(F$1/12)*E16</f>
        <v>21600</v>
      </c>
      <c r="D16" s="33">
        <f>C16</f>
        <v>21600</v>
      </c>
      <c r="E16" s="27">
        <f>12*1800</f>
        <v>21600</v>
      </c>
      <c r="F16" s="18"/>
      <c r="G16" s="40">
        <f>(G$1/12)*E16</f>
        <v>5400</v>
      </c>
      <c r="H16" s="48">
        <f>D16-G16</f>
        <v>16200</v>
      </c>
    </row>
    <row r="17" spans="1:8" ht="11.25">
      <c r="A17" s="14" t="s">
        <v>122</v>
      </c>
      <c r="B17" s="2" t="s">
        <v>118</v>
      </c>
      <c r="C17" s="31">
        <f>(F$1/12)*E17</f>
        <v>38400</v>
      </c>
      <c r="D17" s="33">
        <f>C17</f>
        <v>38400</v>
      </c>
      <c r="E17" s="27">
        <f>12*3200</f>
        <v>38400</v>
      </c>
      <c r="F17" s="18"/>
      <c r="G17" s="40">
        <f>(G$1/12)*E17</f>
        <v>9600</v>
      </c>
      <c r="H17" s="48">
        <f>D17-G17</f>
        <v>28800</v>
      </c>
    </row>
    <row r="18" spans="1:8" ht="11.25">
      <c r="A18" s="14" t="s">
        <v>123</v>
      </c>
      <c r="B18" s="6" t="s">
        <v>120</v>
      </c>
      <c r="C18" s="31">
        <f>(F$1/12)*E18</f>
        <v>5000</v>
      </c>
      <c r="D18" s="33">
        <f>30*40</f>
        <v>1200</v>
      </c>
      <c r="E18" s="27">
        <v>5000</v>
      </c>
      <c r="F18" s="19"/>
      <c r="G18" s="37"/>
      <c r="H18" s="48">
        <f>D18</f>
        <v>1200</v>
      </c>
    </row>
    <row r="19" spans="2:8" ht="11.25">
      <c r="B19" s="6"/>
      <c r="C19" s="31"/>
      <c r="D19" s="33"/>
      <c r="F19" s="20"/>
      <c r="G19" s="48"/>
      <c r="H19" s="48"/>
    </row>
    <row r="20" spans="1:8" ht="11.25">
      <c r="A20" s="22">
        <v>2</v>
      </c>
      <c r="B20" s="30" t="s">
        <v>137</v>
      </c>
      <c r="C20" s="31">
        <f>(F$1/12)*E20</f>
        <v>3400</v>
      </c>
      <c r="D20" s="33">
        <f>SUM(D21:D33)</f>
        <v>2944.7299999999996</v>
      </c>
      <c r="E20" s="26">
        <f>1400+2000</f>
        <v>3400</v>
      </c>
      <c r="G20" s="48">
        <f>SUM(D21:D23)</f>
        <v>414.63</v>
      </c>
      <c r="H20" s="48">
        <f>D20-G20</f>
        <v>2530.0999999999995</v>
      </c>
    </row>
    <row r="21" spans="1:4" ht="11.25">
      <c r="A21" s="14" t="s">
        <v>125</v>
      </c>
      <c r="B21" s="6" t="s">
        <v>171</v>
      </c>
      <c r="D21" s="32">
        <f>KeepingRecords!F$15</f>
        <v>136</v>
      </c>
    </row>
    <row r="22" spans="1:6" ht="11.25">
      <c r="A22" s="14" t="s">
        <v>126</v>
      </c>
      <c r="B22" s="6" t="s">
        <v>172</v>
      </c>
      <c r="D22" s="32">
        <f>KeepingRecords!F$19</f>
        <v>231.04</v>
      </c>
      <c r="F22" s="20"/>
    </row>
    <row r="23" spans="1:4" ht="11.25">
      <c r="A23" s="14" t="s">
        <v>127</v>
      </c>
      <c r="B23" s="6" t="s">
        <v>173</v>
      </c>
      <c r="D23" s="32">
        <f>KeepingRecords!F$23</f>
        <v>47.59</v>
      </c>
    </row>
    <row r="24" spans="1:4" ht="11.25">
      <c r="A24" s="14" t="s">
        <v>128</v>
      </c>
      <c r="B24" s="6" t="s">
        <v>174</v>
      </c>
      <c r="D24" s="32">
        <f>KeepingRecords!F$27</f>
        <v>572.59</v>
      </c>
    </row>
    <row r="25" spans="1:6" ht="11.25">
      <c r="A25" s="14" t="s">
        <v>138</v>
      </c>
      <c r="B25" s="6" t="s">
        <v>175</v>
      </c>
      <c r="F25" s="20"/>
    </row>
    <row r="26" spans="1:4" ht="11.25">
      <c r="A26" s="14" t="s">
        <v>139</v>
      </c>
      <c r="B26" s="6" t="s">
        <v>176</v>
      </c>
      <c r="D26" s="32">
        <f>KeepingRecords!F$33</f>
        <v>391.84</v>
      </c>
    </row>
    <row r="27" spans="1:4" ht="11.25">
      <c r="A27" s="14" t="s">
        <v>140</v>
      </c>
      <c r="B27" s="6" t="s">
        <v>177</v>
      </c>
      <c r="D27" s="32">
        <f>KeepingRecords!F$37</f>
        <v>18.59</v>
      </c>
    </row>
    <row r="28" spans="1:4" ht="11.25">
      <c r="A28" s="14" t="s">
        <v>187</v>
      </c>
      <c r="B28" s="6" t="s">
        <v>188</v>
      </c>
      <c r="D28" s="32">
        <f>KeepingRecords!F$41</f>
        <v>540.98</v>
      </c>
    </row>
    <row r="29" spans="1:2" ht="11.25">
      <c r="A29" s="14" t="s">
        <v>237</v>
      </c>
      <c r="B29" s="6" t="s">
        <v>238</v>
      </c>
    </row>
    <row r="30" spans="1:4" ht="11.25">
      <c r="A30" s="14" t="s">
        <v>251</v>
      </c>
      <c r="B30" s="6" t="s">
        <v>252</v>
      </c>
      <c r="D30" s="32">
        <f>KeepingRecords!F48</f>
        <v>497.4</v>
      </c>
    </row>
    <row r="31" spans="1:2" ht="11.25">
      <c r="A31" s="14" t="s">
        <v>291</v>
      </c>
      <c r="B31" s="6" t="s">
        <v>287</v>
      </c>
    </row>
    <row r="32" spans="1:4" ht="11.25">
      <c r="A32" s="14" t="s">
        <v>292</v>
      </c>
      <c r="B32" s="6" t="s">
        <v>288</v>
      </c>
      <c r="D32" s="32">
        <f>KeepingRecords!F54</f>
        <v>508.7</v>
      </c>
    </row>
    <row r="33" spans="2:4" ht="11.25">
      <c r="B33" s="6"/>
      <c r="C33" s="31"/>
      <c r="D33" s="33"/>
    </row>
    <row r="34" spans="1:8" ht="11.25">
      <c r="A34" s="22">
        <v>3</v>
      </c>
      <c r="B34" s="30" t="s">
        <v>124</v>
      </c>
      <c r="C34" s="31">
        <f>(F$1/12)*E34</f>
        <v>8500</v>
      </c>
      <c r="D34" s="33">
        <f>SUM(D35:D47)</f>
        <v>6397.08</v>
      </c>
      <c r="E34" s="26">
        <v>8500</v>
      </c>
      <c r="G34" s="48">
        <f>SUM(D35:D37)</f>
        <v>2108</v>
      </c>
      <c r="H34" s="48">
        <f>D34-G34</f>
        <v>4289.08</v>
      </c>
    </row>
    <row r="35" spans="1:4" ht="11.25">
      <c r="A35" s="14" t="s">
        <v>130</v>
      </c>
      <c r="B35" s="6" t="s">
        <v>171</v>
      </c>
      <c r="D35" s="32">
        <f>KeepingRecords!F$16</f>
        <v>790</v>
      </c>
    </row>
    <row r="36" spans="1:6" ht="11.25">
      <c r="A36" s="14" t="s">
        <v>131</v>
      </c>
      <c r="B36" s="6" t="s">
        <v>172</v>
      </c>
      <c r="D36" s="32">
        <f>KeepingRecords!F$20</f>
        <v>915</v>
      </c>
      <c r="E36" s="27"/>
      <c r="F36" s="19"/>
    </row>
    <row r="37" spans="1:4" ht="11.25">
      <c r="A37" s="14" t="s">
        <v>132</v>
      </c>
      <c r="B37" s="6" t="s">
        <v>173</v>
      </c>
      <c r="D37" s="32">
        <f>KeepingRecords!F$24</f>
        <v>403</v>
      </c>
    </row>
    <row r="38" spans="1:2" ht="11.25">
      <c r="A38" s="14" t="s">
        <v>133</v>
      </c>
      <c r="B38" s="6" t="s">
        <v>174</v>
      </c>
    </row>
    <row r="39" spans="1:4" ht="11.25">
      <c r="A39" s="14" t="s">
        <v>134</v>
      </c>
      <c r="B39" s="6" t="s">
        <v>175</v>
      </c>
      <c r="D39" s="32">
        <f>KeepingRecords!F$30</f>
        <v>820.41</v>
      </c>
    </row>
    <row r="40" spans="1:6" ht="11.25">
      <c r="A40" s="14" t="s">
        <v>135</v>
      </c>
      <c r="B40" s="6" t="s">
        <v>176</v>
      </c>
      <c r="D40" s="32">
        <f>KeepingRecords!F$34</f>
        <v>915.13</v>
      </c>
      <c r="E40" s="27"/>
      <c r="F40" s="19"/>
    </row>
    <row r="41" spans="1:4" ht="11.25">
      <c r="A41" s="14" t="s">
        <v>136</v>
      </c>
      <c r="B41" s="6" t="s">
        <v>177</v>
      </c>
      <c r="D41" s="32">
        <f>KeepingRecords!F$38</f>
        <v>362</v>
      </c>
    </row>
    <row r="42" spans="1:2" ht="11.25">
      <c r="A42" s="14" t="s">
        <v>189</v>
      </c>
      <c r="B42" s="6" t="s">
        <v>188</v>
      </c>
    </row>
    <row r="43" spans="1:4" ht="11.25">
      <c r="A43" s="14" t="s">
        <v>239</v>
      </c>
      <c r="B43" s="6" t="s">
        <v>238</v>
      </c>
      <c r="D43" s="32">
        <f>KeepingRecords!F45</f>
        <v>1484.3</v>
      </c>
    </row>
    <row r="44" spans="1:4" ht="11.25">
      <c r="A44" s="14" t="s">
        <v>253</v>
      </c>
      <c r="B44" s="6" t="s">
        <v>252</v>
      </c>
      <c r="D44" s="32">
        <f>KeepingRecords!F49</f>
        <v>707.24</v>
      </c>
    </row>
    <row r="45" spans="1:2" ht="11.25">
      <c r="A45" s="14" t="s">
        <v>285</v>
      </c>
      <c r="B45" s="6" t="s">
        <v>287</v>
      </c>
    </row>
    <row r="46" spans="1:2" ht="11.25">
      <c r="A46" s="14" t="s">
        <v>286</v>
      </c>
      <c r="B46" s="6" t="s">
        <v>288</v>
      </c>
    </row>
    <row r="47" spans="1:2" ht="11.25">
      <c r="A47" s="14"/>
      <c r="B47" s="6"/>
    </row>
    <row r="48" spans="1:8" ht="11.25">
      <c r="A48" s="22">
        <v>4</v>
      </c>
      <c r="B48" s="30" t="s">
        <v>148</v>
      </c>
      <c r="C48" s="31">
        <f>(F$1/12)*E48</f>
        <v>10660</v>
      </c>
      <c r="D48" s="33">
        <f>SUM(D49:D61)</f>
        <v>13225.43</v>
      </c>
      <c r="E48" s="26">
        <v>10660</v>
      </c>
      <c r="G48" s="48">
        <f>SUM(D49+D50)</f>
        <v>1987.9899999999998</v>
      </c>
      <c r="H48" s="48">
        <f>D48-G48</f>
        <v>11237.44</v>
      </c>
    </row>
    <row r="49" spans="1:4" ht="11.25">
      <c r="A49" s="14" t="s">
        <v>141</v>
      </c>
      <c r="B49" s="6" t="s">
        <v>145</v>
      </c>
      <c r="D49" s="32">
        <f>KeepingRecords!E$69</f>
        <v>2787.99</v>
      </c>
    </row>
    <row r="50" spans="1:4" ht="11.25">
      <c r="A50" s="14" t="s">
        <v>142</v>
      </c>
      <c r="B50" s="6" t="s">
        <v>164</v>
      </c>
      <c r="C50" s="37"/>
      <c r="D50" s="32">
        <f>KeepingRecords!E$70</f>
        <v>-800</v>
      </c>
    </row>
    <row r="51" spans="1:4" ht="11.25">
      <c r="A51" s="14" t="s">
        <v>161</v>
      </c>
      <c r="B51" s="1" t="s">
        <v>165</v>
      </c>
      <c r="C51" s="37"/>
      <c r="D51" s="32">
        <f>KeepingRecords!E$71</f>
        <v>1918.96</v>
      </c>
    </row>
    <row r="52" spans="1:4" ht="11.25">
      <c r="A52" s="14" t="s">
        <v>162</v>
      </c>
      <c r="B52" s="1" t="s">
        <v>168</v>
      </c>
      <c r="C52" s="37"/>
      <c r="D52" s="32">
        <f>KeepingRecords!E$72</f>
        <v>1409.47</v>
      </c>
    </row>
    <row r="53" spans="1:4" ht="11.25">
      <c r="A53" s="14" t="s">
        <v>163</v>
      </c>
      <c r="B53" s="1" t="s">
        <v>166</v>
      </c>
      <c r="C53" s="37"/>
      <c r="D53" s="32">
        <f>KeepingRecords!E$73</f>
        <v>357.34</v>
      </c>
    </row>
    <row r="54" spans="1:7" ht="11.25">
      <c r="A54" s="14" t="s">
        <v>167</v>
      </c>
      <c r="B54" s="1" t="s">
        <v>226</v>
      </c>
      <c r="C54" s="37"/>
      <c r="D54" s="32">
        <f>KeepingRecords!G84+KeepingRecords!G85+KeepingRecords!G86</f>
        <v>1963.04</v>
      </c>
      <c r="G54" s="37"/>
    </row>
    <row r="55" spans="1:7" ht="11.25">
      <c r="A55" s="14" t="s">
        <v>225</v>
      </c>
      <c r="B55" s="1" t="s">
        <v>270</v>
      </c>
      <c r="C55" s="37"/>
      <c r="D55" s="32">
        <f>KeepingRecords!G89+KeepingRecords!G90+KeepingRecords!G91</f>
        <v>2388.8599999999997</v>
      </c>
      <c r="G55" s="37"/>
    </row>
    <row r="56" spans="1:7" ht="11.25">
      <c r="A56" s="14" t="s">
        <v>240</v>
      </c>
      <c r="B56" s="1" t="s">
        <v>271</v>
      </c>
      <c r="C56" s="37"/>
      <c r="D56" s="32">
        <f>KeepingRecords!G92+KeepingRecords!G93+KeepingRecords!G94</f>
        <v>1448.96</v>
      </c>
      <c r="G56" s="37"/>
    </row>
    <row r="57" spans="1:7" ht="11.25">
      <c r="A57" s="14" t="s">
        <v>254</v>
      </c>
      <c r="B57" s="6" t="s">
        <v>269</v>
      </c>
      <c r="C57" s="37"/>
      <c r="D57" s="32">
        <f>KeepingRecords!G95</f>
        <v>-422.17</v>
      </c>
      <c r="G57" s="37"/>
    </row>
    <row r="58" spans="1:7" ht="11.25">
      <c r="A58" s="14" t="s">
        <v>272</v>
      </c>
      <c r="B58" s="1" t="s">
        <v>295</v>
      </c>
      <c r="C58" s="37"/>
      <c r="D58" s="32">
        <f>KeepingRecords!G96</f>
        <v>601.99</v>
      </c>
      <c r="G58" s="37"/>
    </row>
    <row r="59" spans="1:7" ht="11.25">
      <c r="A59" s="14" t="s">
        <v>289</v>
      </c>
      <c r="B59" s="1" t="s">
        <v>296</v>
      </c>
      <c r="C59" s="37"/>
      <c r="D59" s="32">
        <f>KeepingRecords!G97+KeepingRecords!G98</f>
        <v>785.45</v>
      </c>
      <c r="G59" s="37"/>
    </row>
    <row r="60" spans="1:7" ht="11.25">
      <c r="A60" s="14" t="s">
        <v>290</v>
      </c>
      <c r="B60" s="1" t="s">
        <v>376</v>
      </c>
      <c r="C60" s="37"/>
      <c r="D60" s="32">
        <f>KeepingRecords!G99+KeepingRecords!G100</f>
        <v>785.5400000000001</v>
      </c>
      <c r="F60" s="37"/>
      <c r="G60" s="37"/>
    </row>
    <row r="61" spans="1:2" ht="11.25">
      <c r="A61" s="14"/>
      <c r="B61" s="1"/>
    </row>
    <row r="62" spans="1:9" ht="11.25">
      <c r="A62" s="22">
        <v>5</v>
      </c>
      <c r="B62" s="30" t="s">
        <v>160</v>
      </c>
      <c r="C62" s="31">
        <f>(F$1/12)*E62</f>
        <v>1500</v>
      </c>
      <c r="D62" s="33">
        <f>SUM(D63:D66)</f>
        <v>1396.13</v>
      </c>
      <c r="E62" s="26">
        <v>1500</v>
      </c>
      <c r="G62" s="48">
        <f>SUM(D63+D64)</f>
        <v>465.81</v>
      </c>
      <c r="H62" s="48">
        <f>D62-G62</f>
        <v>930.3200000000002</v>
      </c>
      <c r="I62" s="78"/>
    </row>
    <row r="63" spans="1:4" ht="11.25">
      <c r="A63" s="14" t="s">
        <v>149</v>
      </c>
      <c r="B63" s="6" t="s">
        <v>147</v>
      </c>
      <c r="D63" s="32">
        <f>KeepingRecords!E$67</f>
        <v>107.48</v>
      </c>
    </row>
    <row r="64" spans="1:6" ht="11.25">
      <c r="A64" s="14" t="s">
        <v>150</v>
      </c>
      <c r="B64" s="6" t="s">
        <v>146</v>
      </c>
      <c r="D64" s="32">
        <f>KeepingRecords!E$68</f>
        <v>358.33</v>
      </c>
      <c r="F64" s="20"/>
    </row>
    <row r="65" spans="1:4" ht="11.25">
      <c r="A65" s="14" t="s">
        <v>170</v>
      </c>
      <c r="B65" s="1" t="s">
        <v>169</v>
      </c>
      <c r="C65" s="37"/>
      <c r="D65" s="32">
        <f>KeepingRecords!E$74</f>
        <v>930.32</v>
      </c>
    </row>
    <row r="66" spans="1:2" ht="11.25">
      <c r="A66" s="14"/>
      <c r="B66" s="1"/>
    </row>
    <row r="67" spans="1:5" ht="11.25">
      <c r="A67" s="22">
        <v>6</v>
      </c>
      <c r="B67" s="30" t="s">
        <v>151</v>
      </c>
      <c r="C67" s="31">
        <f>(F$1/12)*E67</f>
        <v>8906</v>
      </c>
      <c r="D67" s="33">
        <f>SUM(D68:D69)</f>
        <v>0</v>
      </c>
      <c r="E67" s="26">
        <v>8906</v>
      </c>
    </row>
    <row r="68" spans="2:4" ht="11.25">
      <c r="B68" s="30"/>
      <c r="C68" s="31"/>
      <c r="D68" s="33"/>
    </row>
    <row r="69" spans="2:4" ht="11.25">
      <c r="B69" s="30"/>
      <c r="C69" s="31"/>
      <c r="D69" s="33"/>
    </row>
    <row r="70" spans="2:8" ht="11.25">
      <c r="B70" s="3"/>
      <c r="C70" s="31" t="s">
        <v>92</v>
      </c>
      <c r="D70" s="33" t="s">
        <v>93</v>
      </c>
      <c r="E70" s="27" t="s">
        <v>98</v>
      </c>
      <c r="F70" s="5"/>
      <c r="G70" s="33" t="s">
        <v>301</v>
      </c>
      <c r="H70" s="49" t="s">
        <v>300</v>
      </c>
    </row>
    <row r="71" spans="1:9" s="39" customFormat="1" ht="11.25">
      <c r="A71" s="22"/>
      <c r="B71" s="30" t="s">
        <v>152</v>
      </c>
      <c r="C71" s="31">
        <f>SUM(C16:C67)</f>
        <v>97966</v>
      </c>
      <c r="D71" s="40">
        <f>SUM(D16:D18)+D20+D34+D48+D62+D67</f>
        <v>85163.37</v>
      </c>
      <c r="E71" s="31">
        <f>SUM(E16:E67)</f>
        <v>97966</v>
      </c>
      <c r="F71" s="38"/>
      <c r="G71" s="40">
        <f>SUM(G16:G67)</f>
        <v>19976.429999999997</v>
      </c>
      <c r="H71" s="40">
        <f>SUM(H16:H67)</f>
        <v>65186.94</v>
      </c>
      <c r="I71" s="78"/>
    </row>
    <row r="72" spans="1:8" s="39" customFormat="1" ht="11.25">
      <c r="A72" s="22"/>
      <c r="B72" s="30"/>
      <c r="C72" s="31"/>
      <c r="D72" s="40"/>
      <c r="E72" s="31"/>
      <c r="F72" s="38"/>
      <c r="G72" s="40"/>
      <c r="H72" s="40"/>
    </row>
    <row r="73" spans="2:8" ht="11.25">
      <c r="B73" s="6"/>
      <c r="D73" s="32" t="s">
        <v>299</v>
      </c>
      <c r="G73" s="50" t="s">
        <v>299</v>
      </c>
      <c r="H73" s="50" t="s">
        <v>299</v>
      </c>
    </row>
    <row r="74" spans="2:8" ht="11.25">
      <c r="B74" s="6"/>
      <c r="D74" s="32">
        <f>D71/F$1</f>
        <v>7096.947499999999</v>
      </c>
      <c r="G74" s="52">
        <f>G71/G$1</f>
        <v>6658.809999999999</v>
      </c>
      <c r="H74" s="52">
        <f>H71/(F$1-G$1)</f>
        <v>7242.993333333334</v>
      </c>
    </row>
    <row r="75" spans="2:8" ht="11.25">
      <c r="B75" s="6"/>
      <c r="F75" s="20"/>
      <c r="H75" s="49"/>
    </row>
    <row r="76" ht="11.25">
      <c r="B76" s="6"/>
    </row>
    <row r="77" spans="2:7" ht="11.25">
      <c r="B77" s="6"/>
      <c r="G77" s="33" t="s">
        <v>302</v>
      </c>
    </row>
    <row r="78" spans="2:7" ht="11.25">
      <c r="B78" s="6"/>
      <c r="F78" s="26" t="s">
        <v>303</v>
      </c>
      <c r="G78" s="11">
        <v>30000</v>
      </c>
    </row>
    <row r="79" spans="2:7" ht="11.25">
      <c r="B79" s="6"/>
      <c r="E79" s="28"/>
      <c r="F79" s="28" t="s">
        <v>304</v>
      </c>
      <c r="G79" s="11">
        <v>8233</v>
      </c>
    </row>
    <row r="80" spans="3:8" ht="11.25">
      <c r="C80" s="29"/>
      <c r="D80" s="49" t="s">
        <v>306</v>
      </c>
      <c r="E80" s="35"/>
      <c r="F80" s="16"/>
      <c r="G80" s="49" t="s">
        <v>305</v>
      </c>
      <c r="H80" s="49" t="s">
        <v>306</v>
      </c>
    </row>
    <row r="81" spans="4:8" ht="12.75">
      <c r="D81" s="47">
        <f>D74*12</f>
        <v>85163.37</v>
      </c>
      <c r="E81" s="51"/>
      <c r="G81" s="47">
        <f>G71+G78+G79</f>
        <v>58209.42999999999</v>
      </c>
      <c r="H81" s="47">
        <f>H74*12</f>
        <v>86915.92000000001</v>
      </c>
    </row>
  </sheetData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workbookViewId="0" topLeftCell="B45">
      <pane ySplit="3345" topLeftCell="BM95" activePane="topLeft" state="split"/>
      <selection pane="topLeft" activeCell="C57" sqref="C57"/>
      <selection pane="bottomLeft" activeCell="D102" sqref="D102"/>
    </sheetView>
  </sheetViews>
  <sheetFormatPr defaultColWidth="11.421875" defaultRowHeight="12.75"/>
  <cols>
    <col min="1" max="1" width="5.7109375" style="1" customWidth="1"/>
    <col min="2" max="2" width="24.00390625" style="2" customWidth="1"/>
    <col min="3" max="3" width="13.00390625" style="3" customWidth="1"/>
    <col min="4" max="4" width="38.8515625" style="1" customWidth="1"/>
    <col min="5" max="5" width="13.00390625" style="1" customWidth="1"/>
    <col min="6" max="6" width="11.421875" style="4" customWidth="1"/>
    <col min="7" max="9" width="14.7109375" style="1" customWidth="1"/>
    <col min="10" max="10" width="25.7109375" style="1" customWidth="1"/>
    <col min="11" max="11" width="11.421875" style="4" customWidth="1"/>
    <col min="12" max="16384" width="11.421875" style="1" customWidth="1"/>
  </cols>
  <sheetData>
    <row r="2" ht="11.25">
      <c r="B2" s="2" t="s">
        <v>22</v>
      </c>
    </row>
    <row r="4" spans="2:4" ht="11.25">
      <c r="B4" s="3" t="s">
        <v>23</v>
      </c>
      <c r="C4" s="1" t="s">
        <v>26</v>
      </c>
      <c r="D4" s="5"/>
    </row>
    <row r="5" spans="2:4" ht="11.25">
      <c r="B5" s="3" t="s">
        <v>24</v>
      </c>
      <c r="C5" s="1" t="s">
        <v>27</v>
      </c>
      <c r="D5" s="5"/>
    </row>
    <row r="6" spans="2:4" ht="11.25">
      <c r="B6" s="3" t="s">
        <v>25</v>
      </c>
      <c r="C6" s="1" t="s">
        <v>28</v>
      </c>
      <c r="D6" s="5"/>
    </row>
    <row r="7" spans="2:4" ht="11.25">
      <c r="B7" s="3" t="s">
        <v>31</v>
      </c>
      <c r="C7" s="1" t="s">
        <v>35</v>
      </c>
      <c r="D7" s="5"/>
    </row>
    <row r="9" spans="7:10" ht="11.25">
      <c r="G9" s="1" t="s">
        <v>23</v>
      </c>
      <c r="H9" s="1" t="s">
        <v>24</v>
      </c>
      <c r="I9" s="1" t="s">
        <v>25</v>
      </c>
      <c r="J9" s="1" t="s">
        <v>31</v>
      </c>
    </row>
    <row r="10" spans="2:11" ht="11.25">
      <c r="B10" s="2" t="s">
        <v>0</v>
      </c>
      <c r="C10" s="2" t="s">
        <v>1</v>
      </c>
      <c r="D10" s="1" t="s">
        <v>9</v>
      </c>
      <c r="E10" s="1" t="s">
        <v>3</v>
      </c>
      <c r="F10" s="4" t="s">
        <v>18</v>
      </c>
      <c r="G10" s="1" t="s">
        <v>19</v>
      </c>
      <c r="H10" s="1" t="s">
        <v>17</v>
      </c>
      <c r="I10" s="1" t="s">
        <v>33</v>
      </c>
      <c r="J10" s="1" t="s">
        <v>40</v>
      </c>
      <c r="K10" s="4" t="s">
        <v>32</v>
      </c>
    </row>
    <row r="11" spans="1:10" ht="11.25">
      <c r="A11" s="1">
        <v>0</v>
      </c>
      <c r="B11" s="6" t="s">
        <v>38</v>
      </c>
      <c r="C11" s="18" t="s">
        <v>37</v>
      </c>
      <c r="D11" s="1" t="s">
        <v>36</v>
      </c>
      <c r="E11" s="1" t="s">
        <v>14</v>
      </c>
      <c r="F11" s="7">
        <v>59400</v>
      </c>
      <c r="G11" s="8">
        <v>37160</v>
      </c>
      <c r="H11" s="8" t="s">
        <v>8</v>
      </c>
      <c r="I11" s="1" t="s">
        <v>34</v>
      </c>
      <c r="J11" s="1" t="s">
        <v>4</v>
      </c>
    </row>
    <row r="12" spans="1:12" ht="11.25">
      <c r="A12" s="1">
        <f>A11+1</f>
        <v>1</v>
      </c>
      <c r="B12" s="6" t="s">
        <v>20</v>
      </c>
      <c r="C12" s="19" t="s">
        <v>29</v>
      </c>
      <c r="D12" s="1" t="s">
        <v>21</v>
      </c>
      <c r="E12" s="1" t="s">
        <v>14</v>
      </c>
      <c r="F12" s="21">
        <v>30000</v>
      </c>
      <c r="G12" s="8">
        <v>37194</v>
      </c>
      <c r="H12" s="8">
        <v>37210</v>
      </c>
      <c r="I12" s="9" t="s">
        <v>53</v>
      </c>
      <c r="J12" s="1" t="s">
        <v>43</v>
      </c>
      <c r="K12" s="4">
        <v>30000</v>
      </c>
      <c r="L12" s="10" t="s">
        <v>54</v>
      </c>
    </row>
    <row r="13" spans="1:12" ht="11.25">
      <c r="A13" s="1">
        <f aca="true" t="shared" si="0" ref="A13:A33">A12+1</f>
        <v>2</v>
      </c>
      <c r="B13" s="6">
        <v>37165</v>
      </c>
      <c r="C13" s="20" t="s">
        <v>30</v>
      </c>
      <c r="D13" s="1" t="s">
        <v>2</v>
      </c>
      <c r="E13" s="1" t="s">
        <v>14</v>
      </c>
      <c r="F13" s="21">
        <v>1800</v>
      </c>
      <c r="G13" s="8">
        <v>37194</v>
      </c>
      <c r="H13" s="8">
        <v>37208</v>
      </c>
      <c r="I13" s="9" t="s">
        <v>53</v>
      </c>
      <c r="J13" s="11" t="s">
        <v>43</v>
      </c>
      <c r="K13" s="4">
        <v>1800</v>
      </c>
      <c r="L13" s="10" t="s">
        <v>55</v>
      </c>
    </row>
    <row r="14" spans="1:11" ht="11.25">
      <c r="A14" s="1">
        <f t="shared" si="0"/>
        <v>3</v>
      </c>
      <c r="B14" s="6">
        <v>37165</v>
      </c>
      <c r="C14" s="3">
        <v>200110</v>
      </c>
      <c r="D14" s="1" t="s">
        <v>5</v>
      </c>
      <c r="E14" s="1" t="s">
        <v>14</v>
      </c>
      <c r="F14" s="4">
        <v>3200</v>
      </c>
      <c r="G14" s="8">
        <v>37194</v>
      </c>
      <c r="H14" s="8">
        <v>37208</v>
      </c>
      <c r="I14" s="1" t="s">
        <v>43</v>
      </c>
      <c r="J14" s="11" t="s">
        <v>43</v>
      </c>
      <c r="K14" s="4">
        <f>F14</f>
        <v>3200</v>
      </c>
    </row>
    <row r="15" spans="1:11" ht="11.25">
      <c r="A15" s="1">
        <f t="shared" si="0"/>
        <v>4</v>
      </c>
      <c r="B15" s="6">
        <v>37165</v>
      </c>
      <c r="C15" s="3">
        <v>200110</v>
      </c>
      <c r="D15" s="1" t="s">
        <v>5</v>
      </c>
      <c r="E15" s="1" t="s">
        <v>15</v>
      </c>
      <c r="F15" s="4">
        <v>136</v>
      </c>
      <c r="G15" s="8">
        <v>37194</v>
      </c>
      <c r="H15" s="8">
        <v>37208</v>
      </c>
      <c r="I15" s="1" t="s">
        <v>43</v>
      </c>
      <c r="J15" s="11" t="s">
        <v>43</v>
      </c>
      <c r="K15" s="4">
        <f>F15</f>
        <v>136</v>
      </c>
    </row>
    <row r="16" spans="1:11" ht="11.25">
      <c r="A16" s="1">
        <f t="shared" si="0"/>
        <v>5</v>
      </c>
      <c r="B16" s="6">
        <v>37165</v>
      </c>
      <c r="C16" s="3">
        <v>200110</v>
      </c>
      <c r="D16" s="1" t="s">
        <v>5</v>
      </c>
      <c r="E16" s="1" t="s">
        <v>16</v>
      </c>
      <c r="F16" s="4">
        <v>790</v>
      </c>
      <c r="G16" s="8">
        <v>37194</v>
      </c>
      <c r="H16" s="8">
        <v>37208</v>
      </c>
      <c r="I16" s="1" t="s">
        <v>43</v>
      </c>
      <c r="J16" s="11" t="s">
        <v>43</v>
      </c>
      <c r="K16" s="4">
        <f>F16</f>
        <v>790</v>
      </c>
    </row>
    <row r="17" spans="1:12" ht="11.25">
      <c r="A17" s="1">
        <f t="shared" si="0"/>
        <v>6</v>
      </c>
      <c r="B17" s="6">
        <v>37196</v>
      </c>
      <c r="C17" s="19" t="s">
        <v>13</v>
      </c>
      <c r="D17" s="1" t="s">
        <v>6</v>
      </c>
      <c r="E17" s="1" t="s">
        <v>14</v>
      </c>
      <c r="F17" s="21">
        <v>1800</v>
      </c>
      <c r="G17" s="8">
        <v>37224</v>
      </c>
      <c r="H17" s="12" t="s">
        <v>55</v>
      </c>
      <c r="I17" s="1" t="s">
        <v>43</v>
      </c>
      <c r="J17" s="11" t="s">
        <v>43</v>
      </c>
      <c r="K17" s="4">
        <f aca="true" t="shared" si="1" ref="K17:K56">F17</f>
        <v>1800</v>
      </c>
      <c r="L17" s="13" t="s">
        <v>63</v>
      </c>
    </row>
    <row r="18" spans="1:11" ht="11.25">
      <c r="A18" s="1">
        <f t="shared" si="0"/>
        <v>7</v>
      </c>
      <c r="B18" s="6">
        <v>37196</v>
      </c>
      <c r="C18" s="3" t="s">
        <v>10</v>
      </c>
      <c r="D18" s="1" t="s">
        <v>7</v>
      </c>
      <c r="E18" s="1" t="s">
        <v>14</v>
      </c>
      <c r="F18" s="4">
        <v>3200</v>
      </c>
      <c r="G18" s="8">
        <v>37224</v>
      </c>
      <c r="H18" s="12" t="s">
        <v>55</v>
      </c>
      <c r="I18" s="1" t="s">
        <v>43</v>
      </c>
      <c r="J18" s="11" t="s">
        <v>43</v>
      </c>
      <c r="K18" s="4">
        <f t="shared" si="1"/>
        <v>3200</v>
      </c>
    </row>
    <row r="19" spans="1:11" ht="11.25">
      <c r="A19" s="1">
        <f t="shared" si="0"/>
        <v>8</v>
      </c>
      <c r="B19" s="6">
        <v>37196</v>
      </c>
      <c r="C19" s="3" t="s">
        <v>11</v>
      </c>
      <c r="D19" s="1" t="s">
        <v>46</v>
      </c>
      <c r="E19" s="1" t="s">
        <v>15</v>
      </c>
      <c r="F19" s="4">
        <v>231.04</v>
      </c>
      <c r="G19" s="8">
        <v>37224</v>
      </c>
      <c r="H19" s="12" t="s">
        <v>55</v>
      </c>
      <c r="I19" s="1" t="s">
        <v>43</v>
      </c>
      <c r="J19" s="11" t="s">
        <v>43</v>
      </c>
      <c r="K19" s="4">
        <f t="shared" si="1"/>
        <v>231.04</v>
      </c>
    </row>
    <row r="20" spans="1:11" ht="11.25">
      <c r="A20" s="1">
        <f t="shared" si="0"/>
        <v>9</v>
      </c>
      <c r="B20" s="6">
        <v>37196</v>
      </c>
      <c r="C20" s="3" t="s">
        <v>12</v>
      </c>
      <c r="D20" s="1" t="s">
        <v>47</v>
      </c>
      <c r="E20" s="1" t="s">
        <v>16</v>
      </c>
      <c r="F20" s="4">
        <v>915</v>
      </c>
      <c r="G20" s="8">
        <v>37224</v>
      </c>
      <c r="H20" s="12" t="s">
        <v>55</v>
      </c>
      <c r="I20" s="1" t="s">
        <v>43</v>
      </c>
      <c r="J20" s="11" t="s">
        <v>43</v>
      </c>
      <c r="K20" s="4">
        <f t="shared" si="1"/>
        <v>915</v>
      </c>
    </row>
    <row r="21" spans="1:12" ht="11.25">
      <c r="A21" s="1">
        <f t="shared" si="0"/>
        <v>10</v>
      </c>
      <c r="B21" s="6">
        <v>37226</v>
      </c>
      <c r="C21" s="19" t="s">
        <v>56</v>
      </c>
      <c r="D21" s="1" t="s">
        <v>44</v>
      </c>
      <c r="E21" s="1" t="s">
        <v>14</v>
      </c>
      <c r="F21" s="21">
        <v>1800</v>
      </c>
      <c r="G21" s="8">
        <v>37255</v>
      </c>
      <c r="H21" s="8">
        <v>37266</v>
      </c>
      <c r="I21" s="1" t="s">
        <v>43</v>
      </c>
      <c r="J21" s="11" t="s">
        <v>43</v>
      </c>
      <c r="K21" s="4">
        <f t="shared" si="1"/>
        <v>1800</v>
      </c>
      <c r="L21" s="13" t="s">
        <v>63</v>
      </c>
    </row>
    <row r="22" spans="1:11" ht="11.25">
      <c r="A22" s="1">
        <f t="shared" si="0"/>
        <v>11</v>
      </c>
      <c r="B22" s="6">
        <v>37226</v>
      </c>
      <c r="C22" s="3" t="s">
        <v>50</v>
      </c>
      <c r="D22" s="1" t="s">
        <v>45</v>
      </c>
      <c r="E22" s="1" t="s">
        <v>14</v>
      </c>
      <c r="F22" s="4">
        <v>3200</v>
      </c>
      <c r="G22" s="8">
        <v>37255</v>
      </c>
      <c r="H22" s="8">
        <v>37266</v>
      </c>
      <c r="I22" s="1" t="s">
        <v>43</v>
      </c>
      <c r="J22" s="11" t="s">
        <v>43</v>
      </c>
      <c r="K22" s="4">
        <f t="shared" si="1"/>
        <v>3200</v>
      </c>
    </row>
    <row r="23" spans="1:11" ht="11.25">
      <c r="A23" s="1">
        <f t="shared" si="0"/>
        <v>12</v>
      </c>
      <c r="B23" s="6">
        <v>37226</v>
      </c>
      <c r="C23" s="3" t="s">
        <v>51</v>
      </c>
      <c r="D23" s="1" t="s">
        <v>48</v>
      </c>
      <c r="E23" s="1" t="s">
        <v>15</v>
      </c>
      <c r="F23" s="4">
        <v>47.59</v>
      </c>
      <c r="G23" s="8">
        <v>37255</v>
      </c>
      <c r="H23" s="8">
        <v>37266</v>
      </c>
      <c r="I23" s="1" t="s">
        <v>43</v>
      </c>
      <c r="J23" s="11" t="s">
        <v>43</v>
      </c>
      <c r="K23" s="4">
        <f t="shared" si="1"/>
        <v>47.59</v>
      </c>
    </row>
    <row r="24" spans="1:11" ht="11.25">
      <c r="A24" s="1">
        <f t="shared" si="0"/>
        <v>13</v>
      </c>
      <c r="B24" s="6">
        <v>37226</v>
      </c>
      <c r="C24" s="3" t="s">
        <v>52</v>
      </c>
      <c r="D24" s="1" t="s">
        <v>49</v>
      </c>
      <c r="E24" s="1" t="s">
        <v>16</v>
      </c>
      <c r="F24" s="4">
        <v>403</v>
      </c>
      <c r="G24" s="8">
        <v>37255</v>
      </c>
      <c r="H24" s="8">
        <v>37266</v>
      </c>
      <c r="I24" s="1" t="s">
        <v>43</v>
      </c>
      <c r="J24" s="11" t="s">
        <v>43</v>
      </c>
      <c r="K24" s="4">
        <f t="shared" si="1"/>
        <v>403</v>
      </c>
    </row>
    <row r="25" spans="1:12" ht="11.25">
      <c r="A25" s="1">
        <f t="shared" si="0"/>
        <v>14</v>
      </c>
      <c r="B25" s="6">
        <v>37257</v>
      </c>
      <c r="C25" s="20" t="s">
        <v>57</v>
      </c>
      <c r="D25" s="1" t="s">
        <v>62</v>
      </c>
      <c r="E25" s="1" t="s">
        <v>14</v>
      </c>
      <c r="F25" s="21">
        <v>1800</v>
      </c>
      <c r="G25" s="8">
        <v>37281</v>
      </c>
      <c r="H25" s="14" t="s">
        <v>65</v>
      </c>
      <c r="I25" s="1" t="s">
        <v>43</v>
      </c>
      <c r="J25" s="11" t="s">
        <v>43</v>
      </c>
      <c r="K25" s="4">
        <f t="shared" si="1"/>
        <v>1800</v>
      </c>
      <c r="L25" s="1" t="s">
        <v>66</v>
      </c>
    </row>
    <row r="26" spans="1:11" ht="11.25">
      <c r="A26" s="1">
        <f t="shared" si="0"/>
        <v>15</v>
      </c>
      <c r="B26" s="6">
        <v>37257</v>
      </c>
      <c r="C26" s="3" t="s">
        <v>58</v>
      </c>
      <c r="D26" s="1" t="s">
        <v>60</v>
      </c>
      <c r="E26" s="1" t="s">
        <v>14</v>
      </c>
      <c r="F26" s="4">
        <v>3200</v>
      </c>
      <c r="G26" s="8">
        <v>37281</v>
      </c>
      <c r="H26" s="14" t="s">
        <v>65</v>
      </c>
      <c r="I26" s="1" t="s">
        <v>43</v>
      </c>
      <c r="J26" s="11" t="s">
        <v>43</v>
      </c>
      <c r="K26" s="4">
        <f t="shared" si="1"/>
        <v>3200</v>
      </c>
    </row>
    <row r="27" spans="1:11" ht="11.25">
      <c r="A27" s="1">
        <f t="shared" si="0"/>
        <v>16</v>
      </c>
      <c r="B27" s="6">
        <v>37257</v>
      </c>
      <c r="C27" s="3" t="s">
        <v>59</v>
      </c>
      <c r="D27" s="1" t="s">
        <v>61</v>
      </c>
      <c r="E27" s="1" t="s">
        <v>15</v>
      </c>
      <c r="F27" s="15">
        <v>572.59</v>
      </c>
      <c r="G27" s="8">
        <v>37281</v>
      </c>
      <c r="H27" s="14" t="s">
        <v>65</v>
      </c>
      <c r="I27" s="1" t="s">
        <v>43</v>
      </c>
      <c r="J27" s="11" t="s">
        <v>43</v>
      </c>
      <c r="K27" s="4">
        <f t="shared" si="1"/>
        <v>572.59</v>
      </c>
    </row>
    <row r="28" spans="1:12" ht="11.25">
      <c r="A28" s="1">
        <f t="shared" si="0"/>
        <v>17</v>
      </c>
      <c r="B28" s="6">
        <v>37288</v>
      </c>
      <c r="C28" s="20" t="s">
        <v>67</v>
      </c>
      <c r="D28" s="1" t="s">
        <v>68</v>
      </c>
      <c r="E28" s="1" t="s">
        <v>14</v>
      </c>
      <c r="F28" s="21">
        <v>1800</v>
      </c>
      <c r="G28" s="8">
        <v>37315</v>
      </c>
      <c r="H28" s="14" t="s">
        <v>144</v>
      </c>
      <c r="I28" s="1" t="s">
        <v>43</v>
      </c>
      <c r="J28" s="11" t="s">
        <v>43</v>
      </c>
      <c r="K28" s="4">
        <f t="shared" si="1"/>
        <v>1800</v>
      </c>
      <c r="L28" s="1" t="s">
        <v>143</v>
      </c>
    </row>
    <row r="29" spans="1:11" ht="11.25">
      <c r="A29" s="1">
        <f t="shared" si="0"/>
        <v>18</v>
      </c>
      <c r="B29" s="6">
        <v>37288</v>
      </c>
      <c r="C29" s="3" t="s">
        <v>64</v>
      </c>
      <c r="D29" s="1" t="s">
        <v>69</v>
      </c>
      <c r="E29" s="1" t="s">
        <v>14</v>
      </c>
      <c r="F29" s="4">
        <v>3200</v>
      </c>
      <c r="G29" s="8">
        <v>37315</v>
      </c>
      <c r="H29" s="14" t="s">
        <v>80</v>
      </c>
      <c r="I29" s="1" t="s">
        <v>43</v>
      </c>
      <c r="J29" s="11" t="s">
        <v>43</v>
      </c>
      <c r="K29" s="4">
        <f t="shared" si="1"/>
        <v>3200</v>
      </c>
    </row>
    <row r="30" spans="1:11" ht="11.25">
      <c r="A30" s="1">
        <f t="shared" si="0"/>
        <v>19</v>
      </c>
      <c r="B30" s="6">
        <v>37288</v>
      </c>
      <c r="C30" s="3" t="s">
        <v>76</v>
      </c>
      <c r="D30" s="1" t="s">
        <v>70</v>
      </c>
      <c r="E30" s="1" t="s">
        <v>16</v>
      </c>
      <c r="F30" s="15">
        <v>820.41</v>
      </c>
      <c r="G30" s="8">
        <v>37315</v>
      </c>
      <c r="H30" s="14" t="s">
        <v>80</v>
      </c>
      <c r="I30" s="1" t="s">
        <v>43</v>
      </c>
      <c r="J30" s="11" t="s">
        <v>43</v>
      </c>
      <c r="K30" s="4">
        <f t="shared" si="1"/>
        <v>820.41</v>
      </c>
    </row>
    <row r="31" spans="1:11" ht="11.25">
      <c r="A31" s="1">
        <f t="shared" si="0"/>
        <v>20</v>
      </c>
      <c r="B31" s="6">
        <v>37316</v>
      </c>
      <c r="C31" s="20" t="s">
        <v>77</v>
      </c>
      <c r="D31" s="1" t="s">
        <v>71</v>
      </c>
      <c r="E31" s="1" t="s">
        <v>14</v>
      </c>
      <c r="F31" s="21">
        <v>1800</v>
      </c>
      <c r="G31" s="8">
        <v>37341</v>
      </c>
      <c r="H31" s="44" t="s">
        <v>236</v>
      </c>
      <c r="I31" s="1" t="s">
        <v>43</v>
      </c>
      <c r="J31" s="11" t="s">
        <v>43</v>
      </c>
      <c r="K31" s="4">
        <f t="shared" si="1"/>
        <v>1800</v>
      </c>
    </row>
    <row r="32" spans="1:11" ht="11.25">
      <c r="A32" s="1">
        <f t="shared" si="0"/>
        <v>21</v>
      </c>
      <c r="B32" s="6">
        <v>37316</v>
      </c>
      <c r="C32" s="3" t="s">
        <v>74</v>
      </c>
      <c r="D32" s="1" t="s">
        <v>72</v>
      </c>
      <c r="E32" s="1" t="s">
        <v>14</v>
      </c>
      <c r="F32" s="4">
        <v>3200</v>
      </c>
      <c r="G32" s="8">
        <v>37341</v>
      </c>
      <c r="H32" s="44" t="s">
        <v>236</v>
      </c>
      <c r="I32" s="1" t="s">
        <v>43</v>
      </c>
      <c r="J32" s="11" t="s">
        <v>43</v>
      </c>
      <c r="K32" s="4">
        <f t="shared" si="1"/>
        <v>3200</v>
      </c>
    </row>
    <row r="33" spans="1:11" ht="11.25">
      <c r="A33" s="1">
        <f t="shared" si="0"/>
        <v>22</v>
      </c>
      <c r="B33" s="6">
        <v>37316</v>
      </c>
      <c r="C33" s="3" t="s">
        <v>78</v>
      </c>
      <c r="D33" s="1" t="s">
        <v>79</v>
      </c>
      <c r="E33" s="1" t="s">
        <v>15</v>
      </c>
      <c r="F33" s="15">
        <v>391.84</v>
      </c>
      <c r="G33" s="8">
        <v>37341</v>
      </c>
      <c r="H33" s="44" t="s">
        <v>236</v>
      </c>
      <c r="I33" s="1" t="s">
        <v>43</v>
      </c>
      <c r="J33" s="11" t="s">
        <v>43</v>
      </c>
      <c r="K33" s="4">
        <f t="shared" si="1"/>
        <v>391.84</v>
      </c>
    </row>
    <row r="34" spans="1:11" ht="11.25">
      <c r="A34" s="1">
        <f aca="true" t="shared" si="2" ref="A34:A41">A33+1</f>
        <v>23</v>
      </c>
      <c r="B34" s="6">
        <v>37316</v>
      </c>
      <c r="C34" s="3" t="s">
        <v>75</v>
      </c>
      <c r="D34" s="1" t="s">
        <v>73</v>
      </c>
      <c r="E34" s="1" t="s">
        <v>16</v>
      </c>
      <c r="F34" s="15">
        <v>915.13</v>
      </c>
      <c r="G34" s="8">
        <v>37341</v>
      </c>
      <c r="H34" s="44" t="s">
        <v>236</v>
      </c>
      <c r="I34" s="1" t="s">
        <v>43</v>
      </c>
      <c r="J34" s="11" t="s">
        <v>43</v>
      </c>
      <c r="K34" s="4">
        <f t="shared" si="1"/>
        <v>915.13</v>
      </c>
    </row>
    <row r="35" spans="1:11" ht="11.25">
      <c r="A35" s="1">
        <f t="shared" si="2"/>
        <v>24</v>
      </c>
      <c r="B35" s="6">
        <v>37347</v>
      </c>
      <c r="C35" s="20" t="s">
        <v>84</v>
      </c>
      <c r="D35" s="1" t="s">
        <v>85</v>
      </c>
      <c r="E35" s="1" t="s">
        <v>14</v>
      </c>
      <c r="F35" s="21">
        <v>1800</v>
      </c>
      <c r="G35" s="8">
        <v>37375</v>
      </c>
      <c r="H35" s="44" t="s">
        <v>236</v>
      </c>
      <c r="I35" s="1" t="s">
        <v>43</v>
      </c>
      <c r="J35" s="11" t="s">
        <v>43</v>
      </c>
      <c r="K35" s="4">
        <f t="shared" si="1"/>
        <v>1800</v>
      </c>
    </row>
    <row r="36" spans="1:11" ht="11.25">
      <c r="A36" s="1">
        <f t="shared" si="2"/>
        <v>25</v>
      </c>
      <c r="B36" s="6">
        <v>37347</v>
      </c>
      <c r="C36" s="3" t="s">
        <v>81</v>
      </c>
      <c r="D36" s="1" t="s">
        <v>86</v>
      </c>
      <c r="E36" s="1" t="s">
        <v>14</v>
      </c>
      <c r="F36" s="4">
        <v>3200</v>
      </c>
      <c r="G36" s="8">
        <v>37375</v>
      </c>
      <c r="H36" s="44" t="s">
        <v>236</v>
      </c>
      <c r="I36" s="1" t="s">
        <v>43</v>
      </c>
      <c r="J36" s="11" t="s">
        <v>43</v>
      </c>
      <c r="K36" s="4">
        <f t="shared" si="1"/>
        <v>3200</v>
      </c>
    </row>
    <row r="37" spans="1:11" ht="11.25">
      <c r="A37" s="1">
        <f t="shared" si="2"/>
        <v>26</v>
      </c>
      <c r="B37" s="6">
        <v>37347</v>
      </c>
      <c r="C37" s="3" t="s">
        <v>82</v>
      </c>
      <c r="D37" s="1" t="s">
        <v>87</v>
      </c>
      <c r="E37" s="1" t="s">
        <v>15</v>
      </c>
      <c r="F37" s="15">
        <v>18.59</v>
      </c>
      <c r="G37" s="8">
        <v>37375</v>
      </c>
      <c r="H37" s="44" t="s">
        <v>236</v>
      </c>
      <c r="I37" s="1" t="s">
        <v>43</v>
      </c>
      <c r="J37" s="11" t="s">
        <v>43</v>
      </c>
      <c r="K37" s="4">
        <f t="shared" si="1"/>
        <v>18.59</v>
      </c>
    </row>
    <row r="38" spans="1:11" ht="11.25">
      <c r="A38" s="1">
        <f t="shared" si="2"/>
        <v>27</v>
      </c>
      <c r="B38" s="6">
        <v>37347</v>
      </c>
      <c r="C38" s="3" t="s">
        <v>83</v>
      </c>
      <c r="D38" s="1" t="s">
        <v>88</v>
      </c>
      <c r="E38" s="1" t="s">
        <v>16</v>
      </c>
      <c r="F38" s="15">
        <v>362</v>
      </c>
      <c r="G38" s="8">
        <v>37375</v>
      </c>
      <c r="H38" s="44" t="s">
        <v>236</v>
      </c>
      <c r="I38" s="1" t="s">
        <v>43</v>
      </c>
      <c r="J38" s="11" t="s">
        <v>43</v>
      </c>
      <c r="K38" s="4">
        <f t="shared" si="1"/>
        <v>362</v>
      </c>
    </row>
    <row r="39" spans="1:11" ht="11.25">
      <c r="A39" s="1">
        <f t="shared" si="2"/>
        <v>28</v>
      </c>
      <c r="B39" s="6">
        <v>37377</v>
      </c>
      <c r="C39" s="20" t="s">
        <v>190</v>
      </c>
      <c r="D39" s="1" t="s">
        <v>182</v>
      </c>
      <c r="E39" s="1" t="s">
        <v>14</v>
      </c>
      <c r="F39" s="21">
        <v>1800</v>
      </c>
      <c r="G39" s="8">
        <v>37407</v>
      </c>
      <c r="H39" s="14" t="s">
        <v>359</v>
      </c>
      <c r="I39" s="1" t="s">
        <v>43</v>
      </c>
      <c r="J39" s="11" t="s">
        <v>43</v>
      </c>
      <c r="K39" s="4">
        <f t="shared" si="1"/>
        <v>1800</v>
      </c>
    </row>
    <row r="40" spans="1:11" ht="11.25">
      <c r="A40" s="1">
        <f t="shared" si="2"/>
        <v>29</v>
      </c>
      <c r="B40" s="6">
        <v>37377</v>
      </c>
      <c r="C40" s="3" t="s">
        <v>185</v>
      </c>
      <c r="D40" s="1" t="s">
        <v>183</v>
      </c>
      <c r="E40" s="1" t="s">
        <v>14</v>
      </c>
      <c r="F40" s="4">
        <v>3200</v>
      </c>
      <c r="G40" s="8">
        <v>37407</v>
      </c>
      <c r="H40" s="14" t="s">
        <v>359</v>
      </c>
      <c r="I40" s="1" t="s">
        <v>43</v>
      </c>
      <c r="J40" s="11" t="s">
        <v>43</v>
      </c>
      <c r="K40" s="4">
        <f t="shared" si="1"/>
        <v>3200</v>
      </c>
    </row>
    <row r="41" spans="1:11" ht="11.25">
      <c r="A41" s="1">
        <f t="shared" si="2"/>
        <v>30</v>
      </c>
      <c r="B41" s="6">
        <v>37377</v>
      </c>
      <c r="C41" s="3" t="s">
        <v>186</v>
      </c>
      <c r="D41" s="1" t="s">
        <v>184</v>
      </c>
      <c r="E41" s="1" t="s">
        <v>15</v>
      </c>
      <c r="F41" s="15">
        <v>540.98</v>
      </c>
      <c r="G41" s="8">
        <v>37407</v>
      </c>
      <c r="H41" s="14" t="s">
        <v>359</v>
      </c>
      <c r="I41" s="1" t="s">
        <v>43</v>
      </c>
      <c r="J41" s="11" t="s">
        <v>43</v>
      </c>
      <c r="K41" s="4">
        <f t="shared" si="1"/>
        <v>540.98</v>
      </c>
    </row>
    <row r="42" spans="1:11" ht="11.25">
      <c r="A42" s="1">
        <v>31</v>
      </c>
      <c r="B42" s="6">
        <v>37408</v>
      </c>
      <c r="C42" s="3" t="s">
        <v>228</v>
      </c>
      <c r="D42" s="1" t="s">
        <v>227</v>
      </c>
      <c r="E42" s="1" t="s">
        <v>15</v>
      </c>
      <c r="F42" s="4">
        <v>8567.12</v>
      </c>
      <c r="G42" s="8">
        <v>37421</v>
      </c>
      <c r="H42" s="14" t="s">
        <v>360</v>
      </c>
      <c r="I42" s="1" t="s">
        <v>361</v>
      </c>
      <c r="J42" s="11" t="s">
        <v>361</v>
      </c>
      <c r="K42" s="4">
        <f t="shared" si="1"/>
        <v>8567.12</v>
      </c>
    </row>
    <row r="43" spans="2:11" ht="11.25">
      <c r="B43" s="6">
        <v>37408</v>
      </c>
      <c r="C43" s="20" t="s">
        <v>234</v>
      </c>
      <c r="D43" s="1" t="s">
        <v>229</v>
      </c>
      <c r="E43" s="1" t="s">
        <v>14</v>
      </c>
      <c r="F43" s="21">
        <v>1800</v>
      </c>
      <c r="G43" s="44" t="s">
        <v>235</v>
      </c>
      <c r="H43" s="75">
        <v>37507</v>
      </c>
      <c r="I43" s="1" t="s">
        <v>43</v>
      </c>
      <c r="J43" s="11" t="s">
        <v>43</v>
      </c>
      <c r="K43" s="4">
        <f t="shared" si="1"/>
        <v>1800</v>
      </c>
    </row>
    <row r="44" spans="2:11" ht="11.25">
      <c r="B44" s="6">
        <v>37408</v>
      </c>
      <c r="C44" s="3" t="s">
        <v>232</v>
      </c>
      <c r="D44" s="1" t="s">
        <v>230</v>
      </c>
      <c r="E44" s="1" t="s">
        <v>14</v>
      </c>
      <c r="F44" s="4">
        <v>3200</v>
      </c>
      <c r="G44" s="44" t="s">
        <v>235</v>
      </c>
      <c r="H44" s="75">
        <v>37507</v>
      </c>
      <c r="I44" s="1" t="s">
        <v>43</v>
      </c>
      <c r="J44" s="11" t="s">
        <v>43</v>
      </c>
      <c r="K44" s="4">
        <f t="shared" si="1"/>
        <v>3200</v>
      </c>
    </row>
    <row r="45" spans="2:11" ht="11.25">
      <c r="B45" s="6">
        <v>37408</v>
      </c>
      <c r="C45" s="3" t="s">
        <v>233</v>
      </c>
      <c r="D45" s="1" t="s">
        <v>231</v>
      </c>
      <c r="E45" s="1" t="s">
        <v>16</v>
      </c>
      <c r="F45" s="4">
        <v>1484.3</v>
      </c>
      <c r="G45" s="44" t="s">
        <v>235</v>
      </c>
      <c r="H45" s="75">
        <v>37507</v>
      </c>
      <c r="I45" s="1" t="s">
        <v>43</v>
      </c>
      <c r="J45" s="11" t="s">
        <v>43</v>
      </c>
      <c r="K45" s="4">
        <f t="shared" si="1"/>
        <v>1484.3</v>
      </c>
    </row>
    <row r="46" spans="2:11" ht="11.25">
      <c r="B46" s="6">
        <v>37438</v>
      </c>
      <c r="C46" s="20" t="s">
        <v>243</v>
      </c>
      <c r="D46" s="1" t="s">
        <v>246</v>
      </c>
      <c r="E46" s="1" t="s">
        <v>14</v>
      </c>
      <c r="F46" s="21">
        <v>1800</v>
      </c>
      <c r="G46" s="14" t="s">
        <v>250</v>
      </c>
      <c r="H46" s="75">
        <v>37545</v>
      </c>
      <c r="I46" s="1" t="s">
        <v>43</v>
      </c>
      <c r="J46" s="11" t="s">
        <v>43</v>
      </c>
      <c r="K46" s="4">
        <f t="shared" si="1"/>
        <v>1800</v>
      </c>
    </row>
    <row r="47" spans="2:11" ht="11.25">
      <c r="B47" s="6">
        <v>37438</v>
      </c>
      <c r="C47" s="3" t="s">
        <v>244</v>
      </c>
      <c r="D47" s="1" t="s">
        <v>247</v>
      </c>
      <c r="E47" s="1" t="s">
        <v>14</v>
      </c>
      <c r="F47" s="4">
        <v>3200</v>
      </c>
      <c r="G47" s="14" t="s">
        <v>250</v>
      </c>
      <c r="H47" s="75">
        <v>37545</v>
      </c>
      <c r="I47" s="1" t="s">
        <v>43</v>
      </c>
      <c r="J47" s="11" t="s">
        <v>43</v>
      </c>
      <c r="K47" s="4">
        <f t="shared" si="1"/>
        <v>3200</v>
      </c>
    </row>
    <row r="48" spans="2:11" ht="11.25">
      <c r="B48" s="6">
        <v>37438</v>
      </c>
      <c r="C48" s="3" t="s">
        <v>245</v>
      </c>
      <c r="D48" s="1" t="s">
        <v>248</v>
      </c>
      <c r="E48" s="1" t="s">
        <v>15</v>
      </c>
      <c r="F48" s="4">
        <v>497.4</v>
      </c>
      <c r="G48" s="14" t="s">
        <v>250</v>
      </c>
      <c r="H48" s="75">
        <v>37545</v>
      </c>
      <c r="I48" s="1" t="s">
        <v>43</v>
      </c>
      <c r="J48" s="11" t="s">
        <v>43</v>
      </c>
      <c r="K48" s="4">
        <f t="shared" si="1"/>
        <v>497.4</v>
      </c>
    </row>
    <row r="49" spans="2:11" ht="11.25">
      <c r="B49" s="6">
        <v>37438</v>
      </c>
      <c r="C49" s="3" t="s">
        <v>245</v>
      </c>
      <c r="D49" s="1" t="s">
        <v>249</v>
      </c>
      <c r="E49" s="1" t="s">
        <v>16</v>
      </c>
      <c r="F49" s="4">
        <v>707.24</v>
      </c>
      <c r="G49" s="14" t="s">
        <v>250</v>
      </c>
      <c r="H49" s="75">
        <v>37545</v>
      </c>
      <c r="I49" s="1" t="s">
        <v>43</v>
      </c>
      <c r="J49" s="11" t="s">
        <v>43</v>
      </c>
      <c r="K49" s="4">
        <f t="shared" si="1"/>
        <v>707.24</v>
      </c>
    </row>
    <row r="50" spans="2:11" ht="11.25">
      <c r="B50" s="6">
        <v>37469</v>
      </c>
      <c r="C50" s="20" t="s">
        <v>273</v>
      </c>
      <c r="D50" s="1" t="s">
        <v>274</v>
      </c>
      <c r="E50" s="1" t="s">
        <v>14</v>
      </c>
      <c r="F50" s="21">
        <v>1800</v>
      </c>
      <c r="G50" s="44">
        <v>37500</v>
      </c>
      <c r="H50" s="75">
        <v>37545</v>
      </c>
      <c r="I50" s="1" t="s">
        <v>43</v>
      </c>
      <c r="J50" s="11" t="s">
        <v>43</v>
      </c>
      <c r="K50" s="4">
        <f t="shared" si="1"/>
        <v>1800</v>
      </c>
    </row>
    <row r="51" spans="2:11" ht="11.25">
      <c r="B51" s="6">
        <v>37469</v>
      </c>
      <c r="C51" s="3" t="s">
        <v>276</v>
      </c>
      <c r="D51" s="1" t="s">
        <v>275</v>
      </c>
      <c r="E51" s="1" t="s">
        <v>14</v>
      </c>
      <c r="F51" s="4">
        <v>3200</v>
      </c>
      <c r="G51" s="44">
        <v>37500</v>
      </c>
      <c r="H51" s="75">
        <v>37545</v>
      </c>
      <c r="I51" s="1" t="s">
        <v>43</v>
      </c>
      <c r="J51" s="11" t="s">
        <v>43</v>
      </c>
      <c r="K51" s="4">
        <f t="shared" si="1"/>
        <v>3200</v>
      </c>
    </row>
    <row r="52" spans="2:11" ht="11.25">
      <c r="B52" s="6">
        <v>37500</v>
      </c>
      <c r="C52" s="20" t="s">
        <v>282</v>
      </c>
      <c r="D52" s="1" t="s">
        <v>279</v>
      </c>
      <c r="E52" s="1" t="s">
        <v>14</v>
      </c>
      <c r="F52" s="21">
        <v>1800</v>
      </c>
      <c r="G52" s="44">
        <v>37530</v>
      </c>
      <c r="H52" s="75">
        <v>37545</v>
      </c>
      <c r="I52" s="1" t="s">
        <v>43</v>
      </c>
      <c r="J52" s="11" t="s">
        <v>43</v>
      </c>
      <c r="K52" s="4">
        <f t="shared" si="1"/>
        <v>1800</v>
      </c>
    </row>
    <row r="53" spans="2:11" ht="11.25">
      <c r="B53" s="6">
        <v>37500</v>
      </c>
      <c r="C53" s="3" t="s">
        <v>277</v>
      </c>
      <c r="D53" s="1" t="s">
        <v>280</v>
      </c>
      <c r="E53" s="1" t="s">
        <v>14</v>
      </c>
      <c r="F53" s="4">
        <v>3200</v>
      </c>
      <c r="G53" s="44">
        <v>37530</v>
      </c>
      <c r="H53" s="75">
        <v>37545</v>
      </c>
      <c r="I53" s="1" t="s">
        <v>43</v>
      </c>
      <c r="J53" s="11" t="s">
        <v>43</v>
      </c>
      <c r="K53" s="4">
        <f t="shared" si="1"/>
        <v>3200</v>
      </c>
    </row>
    <row r="54" spans="2:11" ht="11.25">
      <c r="B54" s="6">
        <v>37500</v>
      </c>
      <c r="C54" s="3" t="s">
        <v>278</v>
      </c>
      <c r="D54" s="1" t="s">
        <v>281</v>
      </c>
      <c r="E54" s="1" t="s">
        <v>15</v>
      </c>
      <c r="F54" s="4">
        <v>508.7</v>
      </c>
      <c r="G54" s="44">
        <v>37530</v>
      </c>
      <c r="H54" s="75">
        <v>37545</v>
      </c>
      <c r="I54" s="1" t="s">
        <v>43</v>
      </c>
      <c r="J54" s="11" t="s">
        <v>43</v>
      </c>
      <c r="K54" s="4">
        <f t="shared" si="1"/>
        <v>508.7</v>
      </c>
    </row>
    <row r="55" spans="2:11" ht="11.25">
      <c r="B55" s="6" t="s">
        <v>381</v>
      </c>
      <c r="C55" s="3" t="s">
        <v>379</v>
      </c>
      <c r="D55" s="1" t="s">
        <v>380</v>
      </c>
      <c r="E55" s="1" t="s">
        <v>14</v>
      </c>
      <c r="F55" s="4">
        <v>3200</v>
      </c>
      <c r="G55" s="44">
        <v>37561</v>
      </c>
      <c r="H55" s="75">
        <v>37576</v>
      </c>
      <c r="I55" s="1" t="s">
        <v>43</v>
      </c>
      <c r="J55" s="1" t="s">
        <v>43</v>
      </c>
      <c r="K55" s="4">
        <f t="shared" si="1"/>
        <v>3200</v>
      </c>
    </row>
    <row r="56" spans="2:11" ht="11.25">
      <c r="B56" s="6" t="s">
        <v>381</v>
      </c>
      <c r="C56" s="3" t="s">
        <v>382</v>
      </c>
      <c r="D56" s="1" t="s">
        <v>380</v>
      </c>
      <c r="E56" s="1" t="s">
        <v>383</v>
      </c>
      <c r="F56" s="4">
        <v>920.1</v>
      </c>
      <c r="G56" s="44">
        <v>37561</v>
      </c>
      <c r="H56" s="75">
        <v>37576</v>
      </c>
      <c r="I56" s="1" t="s">
        <v>43</v>
      </c>
      <c r="J56" s="1" t="s">
        <v>43</v>
      </c>
      <c r="K56" s="4">
        <f t="shared" si="1"/>
        <v>920.1</v>
      </c>
    </row>
    <row r="57" spans="2:11" ht="11.25">
      <c r="B57" s="2" t="s">
        <v>381</v>
      </c>
      <c r="E57" s="1" t="s">
        <v>39</v>
      </c>
      <c r="F57" s="4">
        <f>SUM(F11:F56)</f>
        <v>171429.03</v>
      </c>
      <c r="J57" s="1" t="s">
        <v>41</v>
      </c>
      <c r="K57" s="17">
        <f>SUM(K12:K56)</f>
        <v>112029.02999999998</v>
      </c>
    </row>
    <row r="58" spans="10:11" ht="11.25">
      <c r="J58" s="1" t="s">
        <v>362</v>
      </c>
      <c r="K58" s="4" t="e">
        <f>#REF!-K57</f>
        <v>#REF!</v>
      </c>
    </row>
    <row r="59" ht="11.25">
      <c r="B59" s="2" t="s">
        <v>42</v>
      </c>
    </row>
    <row r="60" ht="11.25">
      <c r="B60" s="2" t="s">
        <v>283</v>
      </c>
    </row>
    <row r="65" spans="3:4" ht="11.25">
      <c r="C65" s="38" t="s">
        <v>178</v>
      </c>
      <c r="D65" s="39" t="s">
        <v>224</v>
      </c>
    </row>
    <row r="66" spans="2:6" ht="11.25">
      <c r="B66" s="1" t="s">
        <v>241</v>
      </c>
      <c r="C66" s="3">
        <v>0</v>
      </c>
      <c r="D66" s="2" t="s">
        <v>180</v>
      </c>
      <c r="E66" s="1">
        <v>707.24</v>
      </c>
      <c r="F66" s="4" t="s">
        <v>181</v>
      </c>
    </row>
    <row r="67" spans="3:6" ht="11.25">
      <c r="C67" s="3">
        <v>1</v>
      </c>
      <c r="D67" s="2" t="s">
        <v>179</v>
      </c>
      <c r="E67" s="1">
        <v>107.48</v>
      </c>
      <c r="F67" s="4" t="s">
        <v>214</v>
      </c>
    </row>
    <row r="68" spans="3:6" ht="11.25">
      <c r="C68" s="3">
        <v>2</v>
      </c>
      <c r="D68" s="2" t="s">
        <v>158</v>
      </c>
      <c r="E68" s="1">
        <v>358.33</v>
      </c>
      <c r="F68" s="4" t="s">
        <v>214</v>
      </c>
    </row>
    <row r="69" spans="3:5" ht="11.25">
      <c r="C69" s="3">
        <v>3</v>
      </c>
      <c r="D69" s="2" t="s">
        <v>159</v>
      </c>
      <c r="E69" s="1">
        <v>2787.99</v>
      </c>
    </row>
    <row r="70" spans="3:5" ht="11.25">
      <c r="C70" s="3">
        <v>4</v>
      </c>
      <c r="D70" s="1" t="s">
        <v>153</v>
      </c>
      <c r="E70" s="1">
        <v>-800</v>
      </c>
    </row>
    <row r="71" spans="3:5" ht="11.25">
      <c r="C71" s="3">
        <v>5</v>
      </c>
      <c r="D71" s="1" t="s">
        <v>154</v>
      </c>
      <c r="E71" s="1">
        <v>1918.96</v>
      </c>
    </row>
    <row r="72" spans="3:5" ht="11.25">
      <c r="C72" s="3">
        <v>6</v>
      </c>
      <c r="D72" s="1" t="s">
        <v>155</v>
      </c>
      <c r="E72" s="1">
        <v>1409.47</v>
      </c>
    </row>
    <row r="73" spans="3:5" ht="11.25">
      <c r="C73" s="3">
        <v>7</v>
      </c>
      <c r="D73" s="1" t="s">
        <v>156</v>
      </c>
      <c r="E73" s="1">
        <v>357.34</v>
      </c>
    </row>
    <row r="74" spans="3:5" ht="11.25">
      <c r="C74" s="3">
        <v>8</v>
      </c>
      <c r="D74" s="1" t="s">
        <v>157</v>
      </c>
      <c r="E74" s="1">
        <v>930.32</v>
      </c>
    </row>
    <row r="75" ht="11.25">
      <c r="D75" s="39" t="s">
        <v>223</v>
      </c>
    </row>
    <row r="76" spans="4:7" ht="11.25">
      <c r="D76" s="1" t="s">
        <v>194</v>
      </c>
      <c r="E76" s="1" t="s">
        <v>195</v>
      </c>
      <c r="G76" s="1" t="s">
        <v>222</v>
      </c>
    </row>
    <row r="77" spans="4:7" ht="11.25">
      <c r="D77" s="1" t="s">
        <v>196</v>
      </c>
      <c r="E77" s="1" t="s">
        <v>197</v>
      </c>
      <c r="F77" s="4" t="s">
        <v>215</v>
      </c>
      <c r="G77" s="41">
        <v>2787.99</v>
      </c>
    </row>
    <row r="78" spans="3:8" ht="11.25">
      <c r="C78" s="3" t="s">
        <v>241</v>
      </c>
      <c r="D78" s="1" t="s">
        <v>198</v>
      </c>
      <c r="E78" s="1" t="s">
        <v>199</v>
      </c>
      <c r="F78" s="4" t="s">
        <v>216</v>
      </c>
      <c r="G78" s="1">
        <v>707.24</v>
      </c>
      <c r="H78" s="1" t="s">
        <v>241</v>
      </c>
    </row>
    <row r="79" spans="4:7" ht="11.25">
      <c r="D79" s="1" t="s">
        <v>200</v>
      </c>
      <c r="E79" s="1" t="s">
        <v>201</v>
      </c>
      <c r="F79" s="4" t="s">
        <v>217</v>
      </c>
      <c r="G79" s="41">
        <v>1918.96</v>
      </c>
    </row>
    <row r="80" spans="4:7" ht="11.25">
      <c r="D80" s="1" t="s">
        <v>202</v>
      </c>
      <c r="E80" s="1" t="s">
        <v>203</v>
      </c>
      <c r="F80" s="4" t="s">
        <v>218</v>
      </c>
      <c r="G80" s="1">
        <v>-800</v>
      </c>
    </row>
    <row r="81" spans="4:7" ht="11.25">
      <c r="D81" s="1" t="s">
        <v>204</v>
      </c>
      <c r="E81" s="1" t="s">
        <v>205</v>
      </c>
      <c r="F81" s="4" t="s">
        <v>219</v>
      </c>
      <c r="G81" s="41">
        <v>1409.47</v>
      </c>
    </row>
    <row r="82" spans="4:7" ht="11.25">
      <c r="D82" s="1" t="s">
        <v>206</v>
      </c>
      <c r="E82" s="1" t="s">
        <v>207</v>
      </c>
      <c r="F82" s="4" t="s">
        <v>220</v>
      </c>
      <c r="G82" s="1">
        <v>930.32</v>
      </c>
    </row>
    <row r="83" spans="4:7" ht="11.25">
      <c r="D83" s="1" t="s">
        <v>208</v>
      </c>
      <c r="E83" s="1" t="s">
        <v>209</v>
      </c>
      <c r="F83" s="4" t="s">
        <v>221</v>
      </c>
      <c r="G83" s="1">
        <v>357.34</v>
      </c>
    </row>
    <row r="84" spans="3:7" ht="11.25">
      <c r="C84" s="3">
        <v>9</v>
      </c>
      <c r="D84" s="1" t="s">
        <v>191</v>
      </c>
      <c r="E84" s="1" t="s">
        <v>210</v>
      </c>
      <c r="G84" s="42">
        <v>718.69</v>
      </c>
    </row>
    <row r="85" spans="3:7" ht="11.25">
      <c r="C85" s="3">
        <v>9</v>
      </c>
      <c r="D85" s="1" t="s">
        <v>192</v>
      </c>
      <c r="E85" s="1" t="s">
        <v>211</v>
      </c>
      <c r="G85" s="42">
        <v>649.62</v>
      </c>
    </row>
    <row r="86" spans="3:8" ht="11.25">
      <c r="C86" s="3">
        <v>9</v>
      </c>
      <c r="D86" s="1" t="s">
        <v>193</v>
      </c>
      <c r="E86" s="1" t="s">
        <v>212</v>
      </c>
      <c r="G86" s="42">
        <v>594.73</v>
      </c>
      <c r="H86" s="43">
        <f>G84+G85+G86</f>
        <v>1963.04</v>
      </c>
    </row>
    <row r="87" spans="5:7" ht="11.25">
      <c r="E87" s="1" t="s">
        <v>213</v>
      </c>
      <c r="G87" s="41">
        <f>SUM(G77:G86)</f>
        <v>9274.36</v>
      </c>
    </row>
    <row r="88" spans="7:8" ht="11.25">
      <c r="G88" s="41">
        <f>G87-G78</f>
        <v>8567.12</v>
      </c>
      <c r="H88" s="1" t="s">
        <v>242</v>
      </c>
    </row>
    <row r="89" spans="3:8" ht="11.25">
      <c r="C89" s="3">
        <v>10</v>
      </c>
      <c r="D89" s="1" t="s">
        <v>261</v>
      </c>
      <c r="E89" s="3" t="s">
        <v>255</v>
      </c>
      <c r="F89" s="3"/>
      <c r="G89" s="45">
        <v>660.52</v>
      </c>
      <c r="H89" s="1">
        <f>G89/2222</f>
        <v>0.29726372637263726</v>
      </c>
    </row>
    <row r="90" spans="4:8" ht="11.25">
      <c r="D90" s="1" t="s">
        <v>262</v>
      </c>
      <c r="E90" s="3" t="s">
        <v>256</v>
      </c>
      <c r="F90" s="3"/>
      <c r="G90" s="45">
        <v>623.68</v>
      </c>
      <c r="H90" s="1">
        <f>G90/2098</f>
        <v>0.29727359389895136</v>
      </c>
    </row>
    <row r="91" spans="4:8" ht="11.25">
      <c r="D91" s="1" t="s">
        <v>263</v>
      </c>
      <c r="E91" s="3" t="s">
        <v>257</v>
      </c>
      <c r="F91" s="3"/>
      <c r="G91" s="45">
        <v>1104.66</v>
      </c>
      <c r="H91" s="1">
        <f>G91/3716</f>
        <v>0.29727125941872984</v>
      </c>
    </row>
    <row r="92" spans="3:8" ht="11.25">
      <c r="C92" s="3">
        <v>11</v>
      </c>
      <c r="D92" s="1" t="s">
        <v>264</v>
      </c>
      <c r="E92" s="3" t="s">
        <v>258</v>
      </c>
      <c r="G92" s="46">
        <v>412.25</v>
      </c>
      <c r="H92" s="1">
        <f>G92/1649</f>
        <v>0.25</v>
      </c>
    </row>
    <row r="93" spans="4:8" ht="11.25">
      <c r="D93" s="1" t="s">
        <v>265</v>
      </c>
      <c r="E93" s="3" t="s">
        <v>259</v>
      </c>
      <c r="G93" s="46">
        <v>578.96</v>
      </c>
      <c r="H93" s="1">
        <f>G93/2000</f>
        <v>0.28948</v>
      </c>
    </row>
    <row r="94" spans="4:8" ht="11.25">
      <c r="D94" s="1" t="s">
        <v>266</v>
      </c>
      <c r="E94" s="3" t="s">
        <v>260</v>
      </c>
      <c r="G94" s="46">
        <v>457.75</v>
      </c>
      <c r="H94" s="1">
        <f>G94/1831</f>
        <v>0.25</v>
      </c>
    </row>
    <row r="95" spans="3:8" ht="11.25">
      <c r="C95" s="3">
        <v>12</v>
      </c>
      <c r="D95" s="1" t="s">
        <v>267</v>
      </c>
      <c r="E95" s="1" t="s">
        <v>268</v>
      </c>
      <c r="G95" s="42">
        <v>-422.17</v>
      </c>
      <c r="H95" s="42">
        <f>SUM(G89:G95)</f>
        <v>3415.6499999999996</v>
      </c>
    </row>
    <row r="96" spans="3:7" ht="11.25">
      <c r="C96" s="3" t="s">
        <v>294</v>
      </c>
      <c r="D96" s="1" t="s">
        <v>366</v>
      </c>
      <c r="E96" s="1" t="s">
        <v>363</v>
      </c>
      <c r="G96" s="42">
        <v>601.99</v>
      </c>
    </row>
    <row r="97" spans="3:7" ht="11.25">
      <c r="C97" s="1" t="s">
        <v>293</v>
      </c>
      <c r="D97" s="1" t="s">
        <v>367</v>
      </c>
      <c r="E97" s="1" t="s">
        <v>364</v>
      </c>
      <c r="G97" s="42">
        <v>493.23</v>
      </c>
    </row>
    <row r="98" spans="4:8" ht="11.25">
      <c r="D98" s="1" t="s">
        <v>368</v>
      </c>
      <c r="E98" s="1" t="s">
        <v>365</v>
      </c>
      <c r="G98" s="42">
        <v>292.22</v>
      </c>
      <c r="H98" s="42">
        <f>SUM(G97:G98)</f>
        <v>785.45</v>
      </c>
    </row>
    <row r="99" spans="3:7" ht="11.25">
      <c r="C99" s="3" t="s">
        <v>374</v>
      </c>
      <c r="D99" s="1" t="s">
        <v>372</v>
      </c>
      <c r="E99" s="1" t="s">
        <v>370</v>
      </c>
      <c r="G99" s="1">
        <v>188.33</v>
      </c>
    </row>
    <row r="100" spans="3:8" ht="11.25">
      <c r="C100" s="1" t="s">
        <v>375</v>
      </c>
      <c r="D100" s="1" t="s">
        <v>373</v>
      </c>
      <c r="E100" s="1" t="s">
        <v>371</v>
      </c>
      <c r="G100" s="1">
        <v>597.21</v>
      </c>
      <c r="H100" s="42">
        <f>SUM(G99:G100)</f>
        <v>785.5400000000001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2">
      <selection activeCell="B26" sqref="B26"/>
    </sheetView>
  </sheetViews>
  <sheetFormatPr defaultColWidth="11.421875" defaultRowHeight="12.75"/>
  <cols>
    <col min="1" max="1" width="4.7109375" style="0" customWidth="1"/>
    <col min="2" max="2" width="41.7109375" style="0" customWidth="1"/>
    <col min="3" max="3" width="11.421875" style="24" customWidth="1"/>
  </cols>
  <sheetData>
    <row r="2" spans="2:6" ht="12.75">
      <c r="B2" s="23" t="s">
        <v>99</v>
      </c>
      <c r="D2" s="80" t="s">
        <v>384</v>
      </c>
      <c r="E2" s="23" t="s">
        <v>385</v>
      </c>
      <c r="F2" s="23"/>
    </row>
    <row r="3" spans="2:5" ht="12.75">
      <c r="B3" s="23" t="s">
        <v>100</v>
      </c>
      <c r="E3" t="s">
        <v>405</v>
      </c>
    </row>
    <row r="4" spans="5:6" ht="12.75">
      <c r="E4" t="s">
        <v>406</v>
      </c>
      <c r="F4" t="s">
        <v>407</v>
      </c>
    </row>
    <row r="5" spans="1:2" ht="12.75">
      <c r="A5">
        <v>1</v>
      </c>
      <c r="B5" t="s">
        <v>101</v>
      </c>
    </row>
    <row r="6" spans="2:5" ht="12.75">
      <c r="B6" t="s">
        <v>102</v>
      </c>
      <c r="C6" s="24">
        <f>12*1800</f>
        <v>21600</v>
      </c>
      <c r="D6" t="s">
        <v>386</v>
      </c>
      <c r="E6" t="s">
        <v>386</v>
      </c>
    </row>
    <row r="7" spans="2:5" ht="12.75">
      <c r="B7" t="s">
        <v>103</v>
      </c>
      <c r="C7" s="24">
        <f>12*3200</f>
        <v>38400</v>
      </c>
      <c r="D7" t="s">
        <v>387</v>
      </c>
      <c r="E7" t="s">
        <v>387</v>
      </c>
    </row>
    <row r="8" spans="2:5" ht="12.75">
      <c r="B8" t="s">
        <v>104</v>
      </c>
      <c r="C8" s="24">
        <v>5000</v>
      </c>
      <c r="D8" t="s">
        <v>388</v>
      </c>
      <c r="E8" t="s">
        <v>388</v>
      </c>
    </row>
    <row r="9" spans="2:5" ht="12.75">
      <c r="B9" t="s">
        <v>105</v>
      </c>
      <c r="C9" s="24">
        <f>SUM(C6:C8)</f>
        <v>65000</v>
      </c>
      <c r="D9" t="s">
        <v>389</v>
      </c>
      <c r="E9" t="s">
        <v>389</v>
      </c>
    </row>
    <row r="11" spans="2:5" ht="12.75">
      <c r="B11" t="s">
        <v>106</v>
      </c>
      <c r="C11" s="24">
        <v>1400</v>
      </c>
      <c r="D11" t="s">
        <v>390</v>
      </c>
      <c r="E11" t="s">
        <v>390</v>
      </c>
    </row>
    <row r="12" spans="2:5" ht="12.75">
      <c r="B12" t="s">
        <v>107</v>
      </c>
      <c r="C12" s="24">
        <v>8500</v>
      </c>
      <c r="D12" t="s">
        <v>391</v>
      </c>
      <c r="E12" t="s">
        <v>398</v>
      </c>
    </row>
    <row r="13" spans="2:5" ht="12.75">
      <c r="B13" t="s">
        <v>108</v>
      </c>
      <c r="C13" s="24">
        <v>2000</v>
      </c>
      <c r="D13" t="s">
        <v>392</v>
      </c>
      <c r="E13" t="s">
        <v>392</v>
      </c>
    </row>
    <row r="15" spans="2:5" ht="12.75">
      <c r="B15" t="s">
        <v>109</v>
      </c>
      <c r="C15" s="25">
        <f>SUM(C11:C13)+C9</f>
        <v>76900</v>
      </c>
      <c r="D15" t="s">
        <v>393</v>
      </c>
      <c r="E15" s="23" t="s">
        <v>399</v>
      </c>
    </row>
    <row r="17" spans="1:2" ht="12.75">
      <c r="A17">
        <v>2</v>
      </c>
      <c r="B17" t="s">
        <v>110</v>
      </c>
    </row>
    <row r="18" spans="2:6" ht="12.75">
      <c r="B18" t="s">
        <v>111</v>
      </c>
      <c r="C18" s="24">
        <f>13*820</f>
        <v>10660</v>
      </c>
      <c r="D18" t="s">
        <v>394</v>
      </c>
      <c r="E18" t="s">
        <v>394</v>
      </c>
      <c r="F18" s="79" t="s">
        <v>400</v>
      </c>
    </row>
    <row r="19" spans="2:5" ht="12.75">
      <c r="B19" t="s">
        <v>112</v>
      </c>
      <c r="C19" s="24">
        <v>1500</v>
      </c>
      <c r="D19" t="s">
        <v>395</v>
      </c>
      <c r="E19" t="s">
        <v>395</v>
      </c>
    </row>
    <row r="20" spans="2:5" ht="12.75">
      <c r="B20" t="s">
        <v>401</v>
      </c>
      <c r="E20" t="s">
        <v>402</v>
      </c>
    </row>
    <row r="21" spans="2:5" ht="12.75">
      <c r="B21" t="s">
        <v>113</v>
      </c>
      <c r="C21" s="25">
        <f>SUM(C18:C19)</f>
        <v>12160</v>
      </c>
      <c r="D21" t="s">
        <v>396</v>
      </c>
      <c r="E21" s="23" t="s">
        <v>403</v>
      </c>
    </row>
    <row r="23" spans="2:5" ht="12.75">
      <c r="B23" t="s">
        <v>114</v>
      </c>
      <c r="C23" s="25">
        <f>C15+C21</f>
        <v>89060</v>
      </c>
      <c r="D23" t="s">
        <v>397</v>
      </c>
      <c r="E23" s="23" t="s">
        <v>404</v>
      </c>
    </row>
    <row r="25" spans="1:3" ht="12.75">
      <c r="A25">
        <v>3</v>
      </c>
      <c r="B25" t="s">
        <v>115</v>
      </c>
      <c r="C25" s="24">
        <f>C23*0.1</f>
        <v>8906</v>
      </c>
    </row>
    <row r="26" ht="12.75">
      <c r="B26" t="s">
        <v>408</v>
      </c>
    </row>
    <row r="27" spans="2:5" ht="12.75">
      <c r="B27" s="23" t="s">
        <v>116</v>
      </c>
      <c r="C27" s="25">
        <f>C23+C25</f>
        <v>97966</v>
      </c>
      <c r="E27" s="23" t="s">
        <v>404</v>
      </c>
    </row>
    <row r="28" spans="2:3" ht="12.75">
      <c r="B28" s="23" t="s">
        <v>117</v>
      </c>
      <c r="C28" s="25"/>
    </row>
  </sheetData>
  <hyperlinks>
    <hyperlink ref="F18" r:id="rId1" display="8@$750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37">
      <selection activeCell="E53" sqref="E53"/>
    </sheetView>
  </sheetViews>
  <sheetFormatPr defaultColWidth="11.421875" defaultRowHeight="12.75"/>
  <cols>
    <col min="1" max="1" width="40.28125" style="0" bestFit="1" customWidth="1"/>
    <col min="2" max="2" width="11.7109375" style="0" bestFit="1" customWidth="1"/>
    <col min="3" max="3" width="12.421875" style="0" bestFit="1" customWidth="1"/>
    <col min="4" max="6" width="11.7109375" style="0" bestFit="1" customWidth="1"/>
    <col min="7" max="8" width="10.7109375" style="0" bestFit="1" customWidth="1"/>
    <col min="9" max="9" width="9.140625" style="0" customWidth="1"/>
    <col min="10" max="10" width="10.7109375" style="0" bestFit="1" customWidth="1"/>
    <col min="11" max="11" width="10.00390625" style="0" bestFit="1" customWidth="1"/>
    <col min="12" max="16384" width="9.140625" style="0" customWidth="1"/>
  </cols>
  <sheetData>
    <row r="1" ht="12.75">
      <c r="A1" s="23" t="s">
        <v>307</v>
      </c>
    </row>
    <row r="2" spans="2:4" ht="12.75">
      <c r="B2" t="s">
        <v>308</v>
      </c>
      <c r="C2" t="s">
        <v>309</v>
      </c>
      <c r="D2" t="s">
        <v>310</v>
      </c>
    </row>
    <row r="3" spans="1:4" ht="12.75">
      <c r="A3" t="s">
        <v>311</v>
      </c>
      <c r="B3" s="59">
        <v>5000</v>
      </c>
      <c r="C3" s="59">
        <v>5000</v>
      </c>
      <c r="D3" s="59">
        <f aca="true" t="shared" si="0" ref="D3:D9">C3-B3</f>
        <v>0</v>
      </c>
    </row>
    <row r="4" spans="1:4" ht="12.75">
      <c r="A4" t="s">
        <v>312</v>
      </c>
      <c r="B4" s="59">
        <v>5000</v>
      </c>
      <c r="C4" s="59">
        <v>5000</v>
      </c>
      <c r="D4" s="59">
        <f t="shared" si="0"/>
        <v>0</v>
      </c>
    </row>
    <row r="5" spans="1:4" ht="12.75">
      <c r="A5" t="s">
        <v>313</v>
      </c>
      <c r="B5" s="59">
        <v>5000</v>
      </c>
      <c r="C5" s="59">
        <v>5000</v>
      </c>
      <c r="D5" s="59">
        <f t="shared" si="0"/>
        <v>0</v>
      </c>
    </row>
    <row r="6" spans="1:10" ht="12.75">
      <c r="A6" t="s">
        <v>314</v>
      </c>
      <c r="B6" s="59">
        <v>5000</v>
      </c>
      <c r="C6" s="59">
        <v>5000</v>
      </c>
      <c r="D6" s="59">
        <f t="shared" si="0"/>
        <v>0</v>
      </c>
      <c r="F6" s="59"/>
      <c r="H6" s="59"/>
      <c r="J6" s="59"/>
    </row>
    <row r="7" spans="1:4" ht="12.75">
      <c r="A7" t="s">
        <v>315</v>
      </c>
      <c r="B7" s="59">
        <v>5000</v>
      </c>
      <c r="C7" s="59">
        <v>5000</v>
      </c>
      <c r="D7" s="59">
        <f t="shared" si="0"/>
        <v>0</v>
      </c>
    </row>
    <row r="8" spans="1:4" ht="12.75">
      <c r="A8" t="s">
        <v>316</v>
      </c>
      <c r="B8" s="59">
        <v>5000</v>
      </c>
      <c r="C8" s="59">
        <v>5000</v>
      </c>
      <c r="D8" s="59">
        <f t="shared" si="0"/>
        <v>0</v>
      </c>
    </row>
    <row r="9" spans="1:4" ht="12.75">
      <c r="A9" t="s">
        <v>317</v>
      </c>
      <c r="B9" s="59">
        <v>5000</v>
      </c>
      <c r="C9" s="59">
        <v>5000</v>
      </c>
      <c r="D9" s="59">
        <f t="shared" si="0"/>
        <v>0</v>
      </c>
    </row>
    <row r="10" spans="1:4" ht="12.75">
      <c r="A10" t="s">
        <v>318</v>
      </c>
      <c r="B10" s="59">
        <v>0</v>
      </c>
      <c r="C10" s="59">
        <v>0</v>
      </c>
      <c r="D10" s="59"/>
    </row>
    <row r="11" spans="1:4" ht="12.75">
      <c r="A11" t="s">
        <v>319</v>
      </c>
      <c r="B11" s="59">
        <v>0</v>
      </c>
      <c r="C11" s="59">
        <v>0</v>
      </c>
      <c r="D11" s="59"/>
    </row>
    <row r="12" spans="1:4" ht="12.75">
      <c r="A12" s="23" t="s">
        <v>320</v>
      </c>
      <c r="B12" s="76">
        <f>SUM(B3:B11)</f>
        <v>35000</v>
      </c>
      <c r="C12" s="76">
        <f>SUM(C3:C11)</f>
        <v>35000</v>
      </c>
      <c r="D12" s="76">
        <f>SUM(D3:D11)</f>
        <v>0</v>
      </c>
    </row>
    <row r="13" s="53" customFormat="1" ht="12.75"/>
    <row r="14" spans="1:4" ht="12.75">
      <c r="A14" t="s">
        <v>311</v>
      </c>
      <c r="B14" s="59">
        <v>13642.86</v>
      </c>
      <c r="C14" s="59">
        <v>13642.86</v>
      </c>
      <c r="D14" s="59">
        <f>C14-B14</f>
        <v>0</v>
      </c>
    </row>
    <row r="15" spans="1:4" ht="12.75">
      <c r="A15" t="s">
        <v>312</v>
      </c>
      <c r="B15" s="59">
        <v>13642.86</v>
      </c>
      <c r="C15" s="59">
        <v>1252.59</v>
      </c>
      <c r="D15" s="77">
        <f>-(C15-B15)</f>
        <v>12390.27</v>
      </c>
    </row>
    <row r="16" spans="1:4" ht="12.75">
      <c r="A16" t="s">
        <v>313</v>
      </c>
      <c r="B16" s="59">
        <v>13642.86</v>
      </c>
      <c r="C16" s="59">
        <v>13642.86</v>
      </c>
      <c r="D16" s="59">
        <f>C16-B16</f>
        <v>0</v>
      </c>
    </row>
    <row r="17" spans="1:4" ht="12.75">
      <c r="A17" t="s">
        <v>314</v>
      </c>
      <c r="B17" s="59">
        <v>13642.86</v>
      </c>
      <c r="C17" s="59">
        <v>13642.86</v>
      </c>
      <c r="D17" s="59">
        <f>C17-B17</f>
        <v>0</v>
      </c>
    </row>
    <row r="18" spans="1:4" ht="12.75">
      <c r="A18" t="s">
        <v>315</v>
      </c>
      <c r="B18" s="59">
        <v>13642.86</v>
      </c>
      <c r="C18" s="59">
        <v>0</v>
      </c>
      <c r="D18" s="59">
        <f>-(C18-B18)</f>
        <v>13642.86</v>
      </c>
    </row>
    <row r="19" spans="1:4" ht="12.75">
      <c r="A19" t="s">
        <v>316</v>
      </c>
      <c r="B19" s="59">
        <v>13642.86</v>
      </c>
      <c r="C19" s="59">
        <v>0</v>
      </c>
      <c r="D19" s="59">
        <f>-(C19-B19)</f>
        <v>13642.86</v>
      </c>
    </row>
    <row r="20" spans="1:4" ht="12.75">
      <c r="A20" t="s">
        <v>317</v>
      </c>
      <c r="B20" s="59">
        <v>13642.86</v>
      </c>
      <c r="C20" s="59">
        <v>13642.86</v>
      </c>
      <c r="D20" s="59">
        <f>C20-B20</f>
        <v>0</v>
      </c>
    </row>
    <row r="21" spans="1:4" ht="12.75">
      <c r="A21" t="s">
        <v>318</v>
      </c>
      <c r="B21" s="59">
        <v>0</v>
      </c>
      <c r="C21" s="59">
        <v>9050</v>
      </c>
      <c r="D21" s="59"/>
    </row>
    <row r="22" spans="1:4" ht="12.75">
      <c r="A22" t="s">
        <v>319</v>
      </c>
      <c r="B22" s="59">
        <v>0</v>
      </c>
      <c r="C22" s="59">
        <v>0</v>
      </c>
      <c r="D22" s="59"/>
    </row>
    <row r="23" spans="1:5" ht="12.75">
      <c r="A23" s="23" t="s">
        <v>321</v>
      </c>
      <c r="B23" s="76">
        <f>SUM(B14:B22)</f>
        <v>95500.02</v>
      </c>
      <c r="C23" s="76">
        <f>SUM(C14:C22)</f>
        <v>64874.03</v>
      </c>
      <c r="D23" s="76">
        <f>SUM(D14:D22)</f>
        <v>39675.990000000005</v>
      </c>
      <c r="E23" s="59"/>
    </row>
    <row r="24" s="53" customFormat="1" ht="13.5" customHeight="1"/>
    <row r="25" spans="1:4" ht="12.75">
      <c r="A25" t="s">
        <v>311</v>
      </c>
      <c r="B25" s="59">
        <v>15371</v>
      </c>
      <c r="C25" s="59">
        <v>15371</v>
      </c>
      <c r="D25" s="59">
        <f>C25-B25</f>
        <v>0</v>
      </c>
    </row>
    <row r="26" spans="1:4" ht="12.75">
      <c r="A26" t="s">
        <v>312</v>
      </c>
      <c r="B26" s="59">
        <v>15371</v>
      </c>
      <c r="C26" s="59">
        <f>6876+40</f>
        <v>6916</v>
      </c>
      <c r="D26" s="59">
        <f>-(C26-B26)</f>
        <v>8455</v>
      </c>
    </row>
    <row r="27" spans="1:4" ht="12.75">
      <c r="A27" t="s">
        <v>313</v>
      </c>
      <c r="B27" s="59">
        <v>15371</v>
      </c>
      <c r="C27" s="59">
        <v>15371</v>
      </c>
      <c r="D27" s="59">
        <f>C27-B27</f>
        <v>0</v>
      </c>
    </row>
    <row r="28" spans="1:4" ht="12.75">
      <c r="A28" t="s">
        <v>314</v>
      </c>
      <c r="B28" s="59">
        <v>15371</v>
      </c>
      <c r="C28" s="59">
        <v>15371</v>
      </c>
      <c r="D28" s="59">
        <f>C28-B28</f>
        <v>0</v>
      </c>
    </row>
    <row r="29" spans="1:7" ht="12.75">
      <c r="A29" t="s">
        <v>315</v>
      </c>
      <c r="B29" s="59">
        <v>15371</v>
      </c>
      <c r="C29" s="59">
        <v>15371</v>
      </c>
      <c r="D29" s="59">
        <f>C29-B29</f>
        <v>0</v>
      </c>
      <c r="G29" s="59"/>
    </row>
    <row r="30" spans="1:4" ht="12.75">
      <c r="A30" t="s">
        <v>316</v>
      </c>
      <c r="B30" s="59">
        <v>15371</v>
      </c>
      <c r="C30" s="59">
        <v>6275</v>
      </c>
      <c r="D30" s="59">
        <f>-(C30-B30)</f>
        <v>9096</v>
      </c>
    </row>
    <row r="31" spans="1:4" ht="12.75">
      <c r="A31" t="s">
        <v>317</v>
      </c>
      <c r="B31" s="59">
        <v>15371</v>
      </c>
      <c r="C31" s="59">
        <v>15371</v>
      </c>
      <c r="D31" s="59">
        <f>-(C31-B31)</f>
        <v>0</v>
      </c>
    </row>
    <row r="32" spans="1:4" ht="12.75">
      <c r="A32" t="s">
        <v>318</v>
      </c>
      <c r="B32" s="59">
        <v>0</v>
      </c>
      <c r="C32" s="59">
        <v>0</v>
      </c>
      <c r="D32" s="59"/>
    </row>
    <row r="33" spans="1:4" ht="12.75">
      <c r="A33" t="s">
        <v>319</v>
      </c>
      <c r="B33" s="59">
        <v>0</v>
      </c>
      <c r="C33" s="59">
        <v>3584.11</v>
      </c>
      <c r="D33" s="59"/>
    </row>
    <row r="34" spans="1:5" ht="12.75">
      <c r="A34" s="23" t="s">
        <v>322</v>
      </c>
      <c r="B34" s="76">
        <f>SUM(B25:B33)</f>
        <v>107597</v>
      </c>
      <c r="C34" s="76">
        <f>SUM(C25:C33)</f>
        <v>93630.11</v>
      </c>
      <c r="D34" s="76">
        <f>SUM(D25:D33)</f>
        <v>17551</v>
      </c>
      <c r="E34" s="59"/>
    </row>
    <row r="35" s="53" customFormat="1" ht="12.75"/>
    <row r="36" spans="1:5" s="56" customFormat="1" ht="12.75">
      <c r="A36" t="s">
        <v>311</v>
      </c>
      <c r="B36" s="59">
        <v>13994</v>
      </c>
      <c r="C36" s="59">
        <v>13994</v>
      </c>
      <c r="D36" s="59">
        <f>-(C36-B36)</f>
        <v>0</v>
      </c>
      <c r="E36"/>
    </row>
    <row r="37" spans="1:5" s="56" customFormat="1" ht="12.75">
      <c r="A37" t="s">
        <v>312</v>
      </c>
      <c r="B37" s="59">
        <v>13994</v>
      </c>
      <c r="C37" s="59">
        <v>2000</v>
      </c>
      <c r="D37" s="59">
        <f>-(C37-B37)</f>
        <v>11994</v>
      </c>
      <c r="E37"/>
    </row>
    <row r="38" spans="1:5" s="56" customFormat="1" ht="12.75">
      <c r="A38" t="s">
        <v>323</v>
      </c>
      <c r="B38" s="59">
        <v>1049.5</v>
      </c>
      <c r="C38" s="59">
        <v>0</v>
      </c>
      <c r="D38" s="59">
        <f>SUM(B38:C38)</f>
        <v>1049.5</v>
      </c>
      <c r="E38"/>
    </row>
    <row r="39" spans="1:5" s="56" customFormat="1" ht="12.75">
      <c r="A39" t="s">
        <v>313</v>
      </c>
      <c r="B39" s="59">
        <v>13994</v>
      </c>
      <c r="C39" s="59">
        <v>13994</v>
      </c>
      <c r="D39" s="59">
        <f>-(C39-B39)</f>
        <v>0</v>
      </c>
      <c r="E39"/>
    </row>
    <row r="40" spans="1:5" s="56" customFormat="1" ht="12.75">
      <c r="A40" t="s">
        <v>314</v>
      </c>
      <c r="B40" s="59">
        <v>13994</v>
      </c>
      <c r="C40" s="59">
        <v>13994</v>
      </c>
      <c r="D40" s="59">
        <f>-(C40-B40)</f>
        <v>0</v>
      </c>
      <c r="E40"/>
    </row>
    <row r="41" spans="1:5" s="56" customFormat="1" ht="12.75">
      <c r="A41" t="s">
        <v>315</v>
      </c>
      <c r="B41" s="59">
        <v>13994</v>
      </c>
      <c r="C41" s="59">
        <v>0</v>
      </c>
      <c r="D41" s="59">
        <f>-(C41-B41)</f>
        <v>13994</v>
      </c>
      <c r="E41" s="59"/>
    </row>
    <row r="42" spans="1:5" s="56" customFormat="1" ht="12.75">
      <c r="A42" t="s">
        <v>316</v>
      </c>
      <c r="B42" s="59">
        <v>13994</v>
      </c>
      <c r="C42" s="59">
        <v>100</v>
      </c>
      <c r="D42" s="59">
        <f>-(C42-B42)</f>
        <v>13894</v>
      </c>
      <c r="E42"/>
    </row>
    <row r="43" spans="1:5" s="56" customFormat="1" ht="12.75">
      <c r="A43" t="s">
        <v>324</v>
      </c>
      <c r="B43" s="59">
        <v>949.6</v>
      </c>
      <c r="C43" s="59">
        <v>0</v>
      </c>
      <c r="D43" s="59">
        <f>SUM(B43:C43)</f>
        <v>949.6</v>
      </c>
      <c r="E43"/>
    </row>
    <row r="44" spans="1:5" s="56" customFormat="1" ht="12.75">
      <c r="A44" t="s">
        <v>317</v>
      </c>
      <c r="B44" s="59">
        <v>13994</v>
      </c>
      <c r="C44" s="59">
        <v>13994</v>
      </c>
      <c r="D44" s="59">
        <f>-(C44-B44)</f>
        <v>0</v>
      </c>
      <c r="E44"/>
    </row>
    <row r="45" spans="1:5" s="56" customFormat="1" ht="12.75">
      <c r="A45" t="s">
        <v>318</v>
      </c>
      <c r="B45" s="59">
        <v>0</v>
      </c>
      <c r="C45" s="59">
        <v>0</v>
      </c>
      <c r="D45" s="59">
        <f>SUM(B45:C45)</f>
        <v>0</v>
      </c>
      <c r="E45"/>
    </row>
    <row r="46" spans="1:5" s="56" customFormat="1" ht="12.75">
      <c r="A46" t="s">
        <v>319</v>
      </c>
      <c r="B46" s="59">
        <v>0</v>
      </c>
      <c r="C46" s="59">
        <f>1181.3+204</f>
        <v>1385.3</v>
      </c>
      <c r="D46" s="59"/>
      <c r="E46"/>
    </row>
    <row r="47" spans="1:6" s="56" customFormat="1" ht="12.75">
      <c r="A47" s="23" t="s">
        <v>325</v>
      </c>
      <c r="B47" s="76">
        <f>SUM(B36:B46)</f>
        <v>99957.1</v>
      </c>
      <c r="C47" s="76">
        <f>SUM(C36:C46)</f>
        <v>59461.3</v>
      </c>
      <c r="D47" s="76">
        <f>SUM(D36:D46)</f>
        <v>41881.1</v>
      </c>
      <c r="E47" s="59"/>
      <c r="F47" s="58"/>
    </row>
    <row r="48" s="54" customFormat="1" ht="12.75"/>
    <row r="49" spans="1:4" s="56" customFormat="1" ht="12.75">
      <c r="A49" s="55" t="s">
        <v>326</v>
      </c>
      <c r="B49"/>
      <c r="C49"/>
      <c r="D49"/>
    </row>
    <row r="50" spans="1:4" s="56" customFormat="1" ht="12.75">
      <c r="A50"/>
      <c r="B50" s="23" t="s">
        <v>327</v>
      </c>
      <c r="C50" s="23" t="s">
        <v>328</v>
      </c>
      <c r="D50" s="23" t="s">
        <v>329</v>
      </c>
    </row>
    <row r="51" spans="1:4" s="56" customFormat="1" ht="12.75">
      <c r="A51" t="s">
        <v>330</v>
      </c>
      <c r="B51" s="59">
        <v>0</v>
      </c>
      <c r="C51" s="59">
        <v>0</v>
      </c>
      <c r="D51" s="59">
        <f>SUM(B51:C51)</f>
        <v>0</v>
      </c>
    </row>
    <row r="52" spans="1:4" s="56" customFormat="1" ht="12.75">
      <c r="A52" t="s">
        <v>331</v>
      </c>
      <c r="B52" s="59">
        <v>0</v>
      </c>
      <c r="C52" s="59">
        <v>0</v>
      </c>
      <c r="D52" s="59">
        <v>0</v>
      </c>
    </row>
    <row r="53" spans="1:4" s="56" customFormat="1" ht="12.75">
      <c r="A53" t="s">
        <v>332</v>
      </c>
      <c r="B53" s="59">
        <v>555.72</v>
      </c>
      <c r="C53" s="59">
        <v>0</v>
      </c>
      <c r="D53" s="59">
        <f>SUM(B53:C53)</f>
        <v>555.72</v>
      </c>
    </row>
    <row r="54" spans="1:4" s="56" customFormat="1" ht="12.75">
      <c r="A54" t="s">
        <v>333</v>
      </c>
      <c r="B54" s="59">
        <v>0</v>
      </c>
      <c r="C54" s="59">
        <v>0</v>
      </c>
      <c r="D54" s="59">
        <f>SUM(B54:C54)</f>
        <v>0</v>
      </c>
    </row>
    <row r="55" spans="1:4" s="56" customFormat="1" ht="12.75">
      <c r="A55" t="s">
        <v>334</v>
      </c>
      <c r="B55" s="59">
        <v>0</v>
      </c>
      <c r="C55" s="59">
        <v>0</v>
      </c>
      <c r="D55" s="59">
        <f>SUM(B55:C55)</f>
        <v>0</v>
      </c>
    </row>
    <row r="56" spans="1:6" s="56" customFormat="1" ht="12.75">
      <c r="A56" t="s">
        <v>335</v>
      </c>
      <c r="B56" s="59">
        <v>0</v>
      </c>
      <c r="C56" s="59">
        <v>0</v>
      </c>
      <c r="D56" s="59">
        <v>0</v>
      </c>
      <c r="F56" s="58"/>
    </row>
    <row r="57" spans="1:4" s="56" customFormat="1" ht="12.75">
      <c r="A57" t="s">
        <v>336</v>
      </c>
      <c r="B57" s="59">
        <v>0</v>
      </c>
      <c r="C57" s="59">
        <v>0</v>
      </c>
      <c r="D57" s="59">
        <f>SUM(B57:C57)</f>
        <v>0</v>
      </c>
    </row>
    <row r="58" spans="1:4" s="56" customFormat="1" ht="12.75">
      <c r="A58" t="s">
        <v>337</v>
      </c>
      <c r="B58" s="59">
        <v>0</v>
      </c>
      <c r="C58" s="59">
        <v>0</v>
      </c>
      <c r="D58" s="59">
        <f>SUM(B58:C58)</f>
        <v>0</v>
      </c>
    </row>
    <row r="59" spans="1:4" s="56" customFormat="1" ht="12.75">
      <c r="A59" t="s">
        <v>338</v>
      </c>
      <c r="B59" s="59">
        <v>11700</v>
      </c>
      <c r="C59" s="59">
        <v>0</v>
      </c>
      <c r="D59" s="59">
        <f>SUM(B59:C59)</f>
        <v>11700</v>
      </c>
    </row>
    <row r="60" spans="1:5" s="56" customFormat="1" ht="12.75">
      <c r="A60"/>
      <c r="B60" s="76">
        <f>SUM(B51:B59)</f>
        <v>12255.72</v>
      </c>
      <c r="C60" s="76">
        <f>SUM(C51:C59)</f>
        <v>0</v>
      </c>
      <c r="D60" s="76">
        <f>SUM(B60:C60)</f>
        <v>12255.72</v>
      </c>
      <c r="E60" s="59"/>
    </row>
    <row r="61" s="57" customFormat="1" ht="12.75"/>
    <row r="62" ht="12.75">
      <c r="A62" s="55" t="s">
        <v>339</v>
      </c>
    </row>
    <row r="63" spans="2:4" ht="12.75">
      <c r="B63" s="23" t="s">
        <v>327</v>
      </c>
      <c r="C63" s="23" t="s">
        <v>328</v>
      </c>
      <c r="D63" s="23" t="s">
        <v>329</v>
      </c>
    </row>
    <row r="64" spans="1:4" ht="12.75">
      <c r="A64" t="s">
        <v>330</v>
      </c>
      <c r="B64" s="59">
        <v>407</v>
      </c>
      <c r="C64" s="59">
        <v>0</v>
      </c>
      <c r="D64" s="59">
        <f aca="true" t="shared" si="1" ref="D64:D73">SUM(B64:C64)</f>
        <v>407</v>
      </c>
    </row>
    <row r="65" spans="1:4" ht="12.75">
      <c r="A65" t="s">
        <v>331</v>
      </c>
      <c r="B65" s="58">
        <v>5000</v>
      </c>
      <c r="C65" s="59">
        <v>0</v>
      </c>
      <c r="D65" s="59">
        <f t="shared" si="1"/>
        <v>5000</v>
      </c>
    </row>
    <row r="66" spans="1:4" ht="12.75">
      <c r="A66" t="s">
        <v>332</v>
      </c>
      <c r="B66" s="58">
        <v>2492.12</v>
      </c>
      <c r="C66" s="59">
        <v>0</v>
      </c>
      <c r="D66" s="59">
        <f t="shared" si="1"/>
        <v>2492.12</v>
      </c>
    </row>
    <row r="67" spans="1:4" ht="12.75">
      <c r="A67" t="s">
        <v>333</v>
      </c>
      <c r="B67" s="58">
        <v>39600</v>
      </c>
      <c r="C67" s="59">
        <v>59400</v>
      </c>
      <c r="D67" s="59">
        <f t="shared" si="1"/>
        <v>99000</v>
      </c>
    </row>
    <row r="68" spans="1:4" ht="12.75">
      <c r="A68" t="s">
        <v>334</v>
      </c>
      <c r="B68" s="58">
        <v>414.63</v>
      </c>
      <c r="C68" s="59">
        <v>0</v>
      </c>
      <c r="D68" s="59">
        <f t="shared" si="1"/>
        <v>414.63</v>
      </c>
    </row>
    <row r="69" spans="1:4" ht="12.75">
      <c r="A69" t="s">
        <v>335</v>
      </c>
      <c r="B69" s="58">
        <v>5400</v>
      </c>
      <c r="C69" s="59">
        <v>0</v>
      </c>
      <c r="D69" s="59">
        <f t="shared" si="1"/>
        <v>5400</v>
      </c>
    </row>
    <row r="70" spans="1:4" ht="12.75">
      <c r="A70" t="s">
        <v>336</v>
      </c>
      <c r="B70" s="58">
        <v>2108</v>
      </c>
      <c r="C70" s="59">
        <v>0</v>
      </c>
      <c r="D70" s="59">
        <f t="shared" si="1"/>
        <v>2108</v>
      </c>
    </row>
    <row r="71" spans="1:4" ht="12.75">
      <c r="A71" t="s">
        <v>337</v>
      </c>
      <c r="B71" s="59">
        <v>2787.99</v>
      </c>
      <c r="C71" s="59">
        <v>0</v>
      </c>
      <c r="D71" s="59">
        <f t="shared" si="1"/>
        <v>2787.99</v>
      </c>
    </row>
    <row r="72" spans="1:4" ht="12.75">
      <c r="A72" t="s">
        <v>338</v>
      </c>
      <c r="B72" s="59">
        <v>0</v>
      </c>
      <c r="C72" s="59">
        <v>0</v>
      </c>
      <c r="D72" s="59">
        <f t="shared" si="1"/>
        <v>0</v>
      </c>
    </row>
    <row r="73" spans="2:6" ht="12.75">
      <c r="B73" s="76">
        <f>SUM(B64:B72)</f>
        <v>58209.74</v>
      </c>
      <c r="C73" s="76">
        <f>SUM(C64:C72)</f>
        <v>59400</v>
      </c>
      <c r="D73" s="76">
        <f t="shared" si="1"/>
        <v>117609.73999999999</v>
      </c>
      <c r="E73" s="59"/>
      <c r="F73" s="59"/>
    </row>
    <row r="74" s="57" customFormat="1" ht="12.75"/>
    <row r="75" spans="1:4" s="56" customFormat="1" ht="12.75">
      <c r="A75" s="55" t="s">
        <v>340</v>
      </c>
      <c r="B75"/>
      <c r="C75"/>
      <c r="D75"/>
    </row>
    <row r="76" spans="1:4" s="56" customFormat="1" ht="12.75">
      <c r="A76"/>
      <c r="B76" s="23" t="s">
        <v>327</v>
      </c>
      <c r="C76" s="23" t="s">
        <v>328</v>
      </c>
      <c r="D76" s="23" t="s">
        <v>329</v>
      </c>
    </row>
    <row r="77" spans="1:5" s="56" customFormat="1" ht="12.75">
      <c r="A77" t="s">
        <v>330</v>
      </c>
      <c r="B77" s="59">
        <v>482.25</v>
      </c>
      <c r="C77" s="59">
        <v>0</v>
      </c>
      <c r="D77" s="58">
        <f aca="true" t="shared" si="2" ref="D77:D85">SUM(B77:C77)</f>
        <v>482.25</v>
      </c>
      <c r="E77" s="58"/>
    </row>
    <row r="78" spans="1:4" s="56" customFormat="1" ht="12.75">
      <c r="A78" t="s">
        <v>331</v>
      </c>
      <c r="B78" s="59">
        <v>0</v>
      </c>
      <c r="C78" s="59">
        <v>0</v>
      </c>
      <c r="D78" s="58">
        <f t="shared" si="2"/>
        <v>0</v>
      </c>
    </row>
    <row r="79" spans="1:4" s="56" customFormat="1" ht="12.75">
      <c r="A79" t="s">
        <v>332</v>
      </c>
      <c r="B79" s="59">
        <v>0</v>
      </c>
      <c r="C79" s="59">
        <v>0</v>
      </c>
      <c r="D79" s="58">
        <f t="shared" si="2"/>
        <v>0</v>
      </c>
    </row>
    <row r="80" spans="1:4" s="56" customFormat="1" ht="12.75">
      <c r="A80" t="s">
        <v>333</v>
      </c>
      <c r="B80" s="59">
        <v>19200</v>
      </c>
      <c r="C80" s="59">
        <v>0</v>
      </c>
      <c r="D80" s="58">
        <f t="shared" si="2"/>
        <v>19200</v>
      </c>
    </row>
    <row r="81" spans="1:4" s="56" customFormat="1" ht="12.75">
      <c r="A81" t="s">
        <v>334</v>
      </c>
      <c r="B81" s="59">
        <v>1524</v>
      </c>
      <c r="C81" s="59">
        <v>0</v>
      </c>
      <c r="D81" s="58">
        <f t="shared" si="2"/>
        <v>1524</v>
      </c>
    </row>
    <row r="82" spans="1:4" s="56" customFormat="1" ht="12.75">
      <c r="A82" t="s">
        <v>335</v>
      </c>
      <c r="B82" s="58">
        <v>10800</v>
      </c>
      <c r="C82" s="59">
        <v>0</v>
      </c>
      <c r="D82" s="58">
        <f t="shared" si="2"/>
        <v>10800</v>
      </c>
    </row>
    <row r="83" spans="1:4" s="56" customFormat="1" ht="12.75">
      <c r="A83" t="s">
        <v>341</v>
      </c>
      <c r="B83" s="59">
        <v>3581.84</v>
      </c>
      <c r="C83" s="59">
        <v>0</v>
      </c>
      <c r="D83" s="58">
        <f t="shared" si="2"/>
        <v>3581.84</v>
      </c>
    </row>
    <row r="84" spans="1:4" s="56" customFormat="1" ht="12.75">
      <c r="A84" t="s">
        <v>337</v>
      </c>
      <c r="B84" s="59">
        <f>9796.77-C84</f>
        <v>9194.78</v>
      </c>
      <c r="C84" s="59">
        <v>601.99</v>
      </c>
      <c r="D84" s="58">
        <f t="shared" si="2"/>
        <v>9796.77</v>
      </c>
    </row>
    <row r="85" spans="1:4" s="56" customFormat="1" ht="12.75">
      <c r="A85" t="s">
        <v>338</v>
      </c>
      <c r="B85" s="59">
        <v>0</v>
      </c>
      <c r="C85" s="59">
        <v>0</v>
      </c>
      <c r="D85" s="58">
        <f t="shared" si="2"/>
        <v>0</v>
      </c>
    </row>
    <row r="86" spans="1:5" s="56" customFormat="1" ht="12.75">
      <c r="A86"/>
      <c r="B86" s="76">
        <f>SUM(B77:B85)</f>
        <v>44782.869999999995</v>
      </c>
      <c r="C86" s="76">
        <f>SUM(C77:C85)</f>
        <v>601.99</v>
      </c>
      <c r="D86" s="76">
        <f>SUM(D77:D85)</f>
        <v>45384.86</v>
      </c>
      <c r="E86" s="59"/>
    </row>
    <row r="87" s="57" customFormat="1" ht="12.75"/>
    <row r="88" ht="12.75">
      <c r="E88" s="59"/>
    </row>
    <row r="89" spans="1:2" ht="12.75">
      <c r="A89" s="23" t="s">
        <v>342</v>
      </c>
      <c r="B89" s="76">
        <f>C12+C23+C34+C47</f>
        <v>252965.44</v>
      </c>
    </row>
    <row r="90" spans="1:4" ht="12.75">
      <c r="A90" s="23" t="s">
        <v>343</v>
      </c>
      <c r="B90" s="76">
        <f>D60+D73+D86</f>
        <v>175250.32</v>
      </c>
      <c r="C90" s="59"/>
      <c r="D90" s="59"/>
    </row>
    <row r="91" spans="1:6" ht="12.75">
      <c r="A91" s="23" t="s">
        <v>344</v>
      </c>
      <c r="B91" s="76">
        <f>B89-B90</f>
        <v>77715.12</v>
      </c>
      <c r="F91" s="59"/>
    </row>
    <row r="93" ht="12.75">
      <c r="F93" s="59"/>
    </row>
    <row r="94" ht="12.75">
      <c r="A94" s="23" t="s">
        <v>345</v>
      </c>
    </row>
    <row r="95" spans="1:6" ht="12.75">
      <c r="A95" t="s">
        <v>346</v>
      </c>
      <c r="F95" s="59"/>
    </row>
    <row r="96" ht="12.75">
      <c r="A96" t="s">
        <v>347</v>
      </c>
    </row>
    <row r="98" ht="12.75">
      <c r="D98" s="59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20" sqref="I20"/>
    </sheetView>
  </sheetViews>
  <sheetFormatPr defaultColWidth="11.421875" defaultRowHeight="12.75"/>
  <cols>
    <col min="1" max="1" width="16.7109375" style="0" customWidth="1"/>
    <col min="2" max="2" width="5.7109375" style="61" customWidth="1"/>
    <col min="4" max="6" width="11.421875" style="60" customWidth="1"/>
  </cols>
  <sheetData>
    <row r="1" spans="2:8" ht="12.75">
      <c r="B1" s="61" t="s">
        <v>348</v>
      </c>
      <c r="C1" t="s">
        <v>349</v>
      </c>
      <c r="D1" s="60" t="s">
        <v>91</v>
      </c>
      <c r="E1" s="60" t="s">
        <v>97</v>
      </c>
      <c r="F1" s="60" t="s">
        <v>350</v>
      </c>
      <c r="G1" t="s">
        <v>351</v>
      </c>
      <c r="H1" t="s">
        <v>352</v>
      </c>
    </row>
    <row r="2" ht="12.75">
      <c r="C2" t="s">
        <v>98</v>
      </c>
    </row>
    <row r="4" spans="2:8" ht="12.75">
      <c r="B4" s="61">
        <v>1999</v>
      </c>
      <c r="D4" s="51">
        <f>'Recap.jun02'!C12</f>
        <v>35000</v>
      </c>
      <c r="E4" s="51"/>
      <c r="F4" s="51"/>
      <c r="G4" s="51">
        <f>D4-E4-F4</f>
        <v>35000</v>
      </c>
      <c r="H4" s="51">
        <f>G4</f>
        <v>35000</v>
      </c>
    </row>
    <row r="5" spans="4:8" ht="12.75">
      <c r="D5" s="51"/>
      <c r="E5" s="51"/>
      <c r="F5" s="51"/>
      <c r="G5" s="51"/>
      <c r="H5" s="51"/>
    </row>
    <row r="6" spans="2:8" ht="12.75">
      <c r="B6" s="61">
        <v>2000</v>
      </c>
      <c r="D6" s="51">
        <f>'Recap.jun02'!C23</f>
        <v>64874.03</v>
      </c>
      <c r="E6" s="51">
        <f>'Recap.jun02'!B60</f>
        <v>12255.72</v>
      </c>
      <c r="F6" s="51">
        <f>'Recap.jun02'!C60</f>
        <v>0</v>
      </c>
      <c r="G6" s="51">
        <f>D6-E6-F6</f>
        <v>52618.31</v>
      </c>
      <c r="H6" s="51">
        <f>H4+G6</f>
        <v>87618.31</v>
      </c>
    </row>
    <row r="7" spans="4:8" ht="12.75">
      <c r="D7" s="51"/>
      <c r="E7" s="51"/>
      <c r="F7" s="51"/>
      <c r="G7" s="51"/>
      <c r="H7" s="51"/>
    </row>
    <row r="8" spans="2:8" ht="12.75">
      <c r="B8" s="61">
        <v>2001</v>
      </c>
      <c r="C8" s="51">
        <v>60000</v>
      </c>
      <c r="D8" s="51">
        <f>'Recap.jun02'!C34</f>
        <v>93630.11</v>
      </c>
      <c r="E8" s="51">
        <f>'Recap.jun02'!B73</f>
        <v>58209.74</v>
      </c>
      <c r="F8" s="51">
        <f>'Recap.jun02'!C73</f>
        <v>59400</v>
      </c>
      <c r="G8" s="51">
        <f>D8-E8-F8</f>
        <v>-23979.629999999997</v>
      </c>
      <c r="H8" s="51">
        <f>H6+G8</f>
        <v>63638.68</v>
      </c>
    </row>
    <row r="9" spans="1:8" ht="12.75">
      <c r="A9" s="53" t="s">
        <v>353</v>
      </c>
      <c r="C9" s="51"/>
      <c r="D9" s="51"/>
      <c r="E9" s="51"/>
      <c r="F9" s="51"/>
      <c r="G9" s="51"/>
      <c r="H9" s="51"/>
    </row>
    <row r="10" spans="1:8" ht="12.75">
      <c r="A10" s="53" t="s">
        <v>354</v>
      </c>
      <c r="B10" s="62">
        <v>2002</v>
      </c>
      <c r="C10" s="63">
        <f>AdoptedBudget!C27</f>
        <v>97966</v>
      </c>
      <c r="D10" s="63">
        <f>'Recap.jun02'!C47</f>
        <v>59461.3</v>
      </c>
      <c r="E10" s="63">
        <f>'Recap.jun02'!B86</f>
        <v>44782.869999999995</v>
      </c>
      <c r="F10" s="63">
        <f>'Recap.jun02'!C86</f>
        <v>601.99</v>
      </c>
      <c r="G10" s="63">
        <f>D10-E10-F10</f>
        <v>14076.440000000008</v>
      </c>
      <c r="H10" s="63">
        <f>H$8+G10</f>
        <v>77715.12000000001</v>
      </c>
    </row>
    <row r="11" spans="1:3" ht="12.75">
      <c r="A11" s="64" t="s">
        <v>369</v>
      </c>
      <c r="C11" s="51"/>
    </row>
    <row r="12" spans="1:8" ht="12.75">
      <c r="A12" s="64" t="s">
        <v>355</v>
      </c>
      <c r="B12" s="65">
        <v>2002</v>
      </c>
      <c r="C12" s="66">
        <f>AdoptedBudget!C27</f>
        <v>97966</v>
      </c>
      <c r="D12" s="66">
        <f>'Recap.jun02'!C47</f>
        <v>59461.3</v>
      </c>
      <c r="E12" s="67">
        <f>ManagAccounts!D71-ManagAccounts!G71</f>
        <v>65186.94</v>
      </c>
      <c r="F12" s="66">
        <v>0</v>
      </c>
      <c r="G12" s="66">
        <f>D12-E12-F12</f>
        <v>-5725.639999999999</v>
      </c>
      <c r="H12" s="66">
        <f>H$8+G12</f>
        <v>57913.04</v>
      </c>
    </row>
    <row r="14" spans="1:7" ht="12.75">
      <c r="A14" t="s">
        <v>377</v>
      </c>
      <c r="G14" s="51">
        <v>7097</v>
      </c>
    </row>
    <row r="15" ht="12.75">
      <c r="A15" s="68" t="s">
        <v>356</v>
      </c>
    </row>
    <row r="16" spans="1:8" ht="12.75">
      <c r="A16" s="68" t="s">
        <v>357</v>
      </c>
      <c r="B16" s="69">
        <v>2002</v>
      </c>
      <c r="C16" s="70">
        <f>AdoptedBudget!C27</f>
        <v>97966</v>
      </c>
      <c r="D16" s="70">
        <f>'Recap.jun02'!C47</f>
        <v>59461.3</v>
      </c>
      <c r="E16" s="71">
        <f>E$12+3*G$14</f>
        <v>86477.94</v>
      </c>
      <c r="F16" s="70">
        <v>0</v>
      </c>
      <c r="G16" s="70">
        <f>D16-E16-F16</f>
        <v>-27016.64</v>
      </c>
      <c r="H16" s="70">
        <f>H$8+G16</f>
        <v>36622.04</v>
      </c>
    </row>
    <row r="17" spans="2:8" s="56" customFormat="1" ht="12.75">
      <c r="B17" s="72"/>
      <c r="C17" s="73"/>
      <c r="D17" s="73"/>
      <c r="E17" s="74"/>
      <c r="F17" s="74"/>
      <c r="G17" s="73"/>
      <c r="H17" s="73"/>
    </row>
    <row r="18" spans="1:8" ht="12.75">
      <c r="A18" t="s">
        <v>358</v>
      </c>
      <c r="B18" s="61">
        <v>2003</v>
      </c>
      <c r="C18" s="51">
        <f>AdoptedBudget!C27</f>
        <v>97966</v>
      </c>
      <c r="D18" s="51">
        <v>0</v>
      </c>
      <c r="E18" s="60">
        <f>4*G$14</f>
        <v>28388</v>
      </c>
      <c r="F18" s="51">
        <v>0</v>
      </c>
      <c r="G18" s="51">
        <f>D18-E18-F18</f>
        <v>-28388</v>
      </c>
      <c r="H18" s="51">
        <f>H16+G18</f>
        <v>8234.04</v>
      </c>
    </row>
    <row r="19" ht="12.75">
      <c r="I19" t="s">
        <v>378</v>
      </c>
    </row>
    <row r="20" spans="4:8" ht="12.75">
      <c r="D20" s="51"/>
      <c r="E20" s="51"/>
      <c r="F20" s="51"/>
      <c r="H20" s="51"/>
    </row>
    <row r="21" spans="4:6" ht="12.75">
      <c r="D21" s="51"/>
      <c r="E21" s="51"/>
      <c r="F21" s="51"/>
    </row>
    <row r="22" spans="4:6" ht="12.75">
      <c r="D22" s="51"/>
      <c r="E22" s="51"/>
      <c r="F22" s="51"/>
    </row>
    <row r="23" spans="4:6" ht="12.75">
      <c r="D23" s="51"/>
      <c r="E23" s="51"/>
      <c r="F23" s="51"/>
    </row>
    <row r="24" spans="4:6" ht="12.75">
      <c r="D24" s="51"/>
      <c r="E24" s="51"/>
      <c r="F24" s="5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F26" sqref="F26"/>
    </sheetView>
  </sheetViews>
  <sheetFormatPr defaultColWidth="11.421875" defaultRowHeight="12.75"/>
  <cols>
    <col min="3" max="3" width="11.421875" style="24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Porteneuve Michel</dc:creator>
  <cp:keywords/>
  <dc:description/>
  <cp:lastModifiedBy>Glen</cp:lastModifiedBy>
  <cp:lastPrinted>2002-03-01T18:53:29Z</cp:lastPrinted>
  <dcterms:created xsi:type="dcterms:W3CDTF">2001-11-30T12:48:34Z</dcterms:created>
  <dcterms:modified xsi:type="dcterms:W3CDTF">2002-11-20T16:45:41Z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1397240533</vt:i4>
  </property>
  <property fmtid="{D5CDD505-2E9C-101B-9397-08002B2CF9AE}" pid="3" name="_EmailSubject">
    <vt:lpwstr>budget</vt:lpwstr>
  </property>
  <property fmtid="{D5CDD505-2E9C-101B-9397-08002B2CF9AE}" pid="4" name="_AuthorEmail">
    <vt:lpwstr>philippe@renaut.nom.fr</vt:lpwstr>
  </property>
  <property fmtid="{D5CDD505-2E9C-101B-9397-08002B2CF9AE}" pid="5" name="_AuthorEmailDisplayName">
    <vt:lpwstr>Philippe RENAUT</vt:lpwstr>
  </property>
</Properties>
</file>